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10" activeTab="0"/>
  </bookViews>
  <sheets>
    <sheet name="FY 23-24" sheetId="1" r:id="rId1"/>
    <sheet name="FY 22-23" sheetId="2" r:id="rId2"/>
    <sheet name="FY 21-22" sheetId="3" r:id="rId3"/>
    <sheet name="FY 20-21" sheetId="4" r:id="rId4"/>
    <sheet name="FY 19-20" sheetId="5" r:id="rId5"/>
    <sheet name="FY 18-19" sheetId="6" r:id="rId6"/>
    <sheet name="FY 17-18" sheetId="7" r:id="rId7"/>
    <sheet name="FY 16-17" sheetId="8" r:id="rId8"/>
    <sheet name="FY 15-16" sheetId="9" r:id="rId9"/>
    <sheet name="FY 14-15" sheetId="10" r:id="rId10"/>
    <sheet name="FY 13-14" sheetId="11" r:id="rId11"/>
    <sheet name="FY 12-13" sheetId="12" r:id="rId12"/>
    <sheet name="FY 11-12" sheetId="13" r:id="rId13"/>
    <sheet name="FY 10-11" sheetId="14" r:id="rId14"/>
    <sheet name="FY 09-10" sheetId="15" r:id="rId15"/>
    <sheet name="FY 08-09" sheetId="16" r:id="rId16"/>
    <sheet name="FY 07-08" sheetId="17" r:id="rId17"/>
    <sheet name="FY 06-07" sheetId="18" r:id="rId18"/>
  </sheets>
  <definedNames>
    <definedName name="_xlfn.IFERROR" hidden="1">#NAME?</definedName>
    <definedName name="_xlnm.Print_Area" localSheetId="17">'FY 06-07'!$A$1:$K$64</definedName>
    <definedName name="_xlnm.Print_Area" localSheetId="16">'FY 07-08'!$A$1:$K$69</definedName>
    <definedName name="_xlnm.Print_Area" localSheetId="15">'FY 08-09'!$A$1:$L$69</definedName>
    <definedName name="_xlnm.Print_Area" localSheetId="14">'FY 09-10'!$A$1:$L$71</definedName>
    <definedName name="_xlnm.Print_Area" localSheetId="13">'FY 10-11'!$A$1:$M$74</definedName>
    <definedName name="_xlnm.Print_Area" localSheetId="12">'FY 11-12'!$A$1:$M$72</definedName>
    <definedName name="_xlnm.Print_Area" localSheetId="11">'FY 12-13'!$A$1:$M$72</definedName>
    <definedName name="_xlnm.Print_Area" localSheetId="10">'FY 13-14'!$A$1:$M$72</definedName>
    <definedName name="_xlnm.Print_Area" localSheetId="9">'FY 14-15'!$A$1:$M$72</definedName>
    <definedName name="_xlnm.Print_Area" localSheetId="8">'FY 15-16'!$A$1:$M$72</definedName>
    <definedName name="_xlnm.Print_Area" localSheetId="7">'FY 16-17'!$A$1:$M$72</definedName>
    <definedName name="_xlnm.Print_Area" localSheetId="6">'FY 17-18'!$A$1:$M$72</definedName>
    <definedName name="_xlnm.Print_Area" localSheetId="5">'FY 18-19'!$A$1:$M$72</definedName>
    <definedName name="_xlnm.Print_Area" localSheetId="4">'FY 19-20'!$A$1:$K$68</definedName>
    <definedName name="_xlnm.Print_Area" localSheetId="3">'FY 20-21'!$A$1:$K$68</definedName>
    <definedName name="_xlnm.Print_Area" localSheetId="2">'FY 21-22'!$A$1:$K$68</definedName>
    <definedName name="_xlnm.Print_Area" localSheetId="1">'FY 22-23'!$A$1:$K$68</definedName>
    <definedName name="_xlnm.Print_Area" localSheetId="0">'FY 23-24'!$A$1:$K$68</definedName>
  </definedNames>
  <calcPr fullCalcOnLoad="1"/>
</workbook>
</file>

<file path=xl/sharedStrings.xml><?xml version="1.0" encoding="utf-8"?>
<sst xmlns="http://schemas.openxmlformats.org/spreadsheetml/2006/main" count="1259" uniqueCount="118">
  <si>
    <t>810 Yonkers Ave</t>
  </si>
  <si>
    <t>Yonkers, NY 10704</t>
  </si>
  <si>
    <t>www.yonkersraceway.com</t>
  </si>
  <si>
    <t>(914) 968-4200</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</si>
  <si>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</si>
  <si>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</si>
  <si>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</si>
  <si>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</si>
  <si>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</si>
  <si>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</si>
  <si>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</si>
  <si>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</si>
  <si>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</si>
  <si>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</si>
  <si>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</si>
  <si>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</si>
  <si>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</si>
  <si>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</si>
  <si>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</si>
  <si>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</si>
  <si>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</si>
  <si>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</si>
  <si>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</si>
  <si>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</si>
  <si>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</si>
  <si>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</si>
  <si>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</si>
  <si>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</si>
  <si>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</si>
  <si>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</si>
  <si>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</si>
  <si>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First $50 million net win annually</t>
  </si>
  <si>
    <t>$50 - $100 million net win</t>
  </si>
  <si>
    <t>$100 - $150 million net win</t>
  </si>
  <si>
    <t>Over $150 million net win</t>
  </si>
  <si>
    <t>Source:  New York Lottery</t>
  </si>
  <si>
    <t>Aid to Municipalities with Video Lottery Gaming Facilities Program</t>
  </si>
  <si>
    <t>City of Yonkers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</si>
  <si>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Empire City at Yonkers Raceway facility received the following aid payments: </t>
  </si>
  <si>
    <t>Fiscal Year 2008/2009</t>
  </si>
  <si>
    <t>Capital</t>
  </si>
  <si>
    <t>Award</t>
  </si>
  <si>
    <t>Capital Award:</t>
  </si>
  <si>
    <t>The portion of Net Win allocated to the operators of the gaming facility that is restricted for capital project investments which improve the</t>
  </si>
  <si>
    <t>The net revenues remaining after payout of prizes to players. (Credits Played less Credits Won)  Net win is commonly referred to as "Hold"</t>
  </si>
  <si>
    <t>or "Net Machine Income".</t>
  </si>
  <si>
    <t>facilities and promote or encourage increased attendance at the video gaming facility. The Capital Award is subject to an annual cap</t>
  </si>
  <si>
    <t>of $2.5 million.</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</si>
  <si>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Empire City at Yonkers Raceway facility received the following aid payments: </t>
  </si>
  <si>
    <t>First $62.5 million of net win</t>
  </si>
  <si>
    <t>Empire City Casino at Yonkers Raceway</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</si>
  <si>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</si>
  <si>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Empire City at Yonkers Raceway facility received the following aid payments: </t>
  </si>
  <si>
    <t>Over $62.5 million net win</t>
  </si>
  <si>
    <t>The net revenues remaining after payout of prizes to players. (Credits Played less Credits Won)  Net win is commonly</t>
  </si>
  <si>
    <t>referred to as "Hold" or "Net Machine Income".</t>
  </si>
  <si>
    <t>The portion of Net Win allocated to the operators of the gaming facility that is restricted for capital project investments</t>
  </si>
  <si>
    <t>which improve the facilities and promote or encourage increased attendance at the video gaming facility. The Capital Award</t>
  </si>
  <si>
    <t>is subject to an annual cap of $2.5 million.</t>
  </si>
  <si>
    <t>Fiscal Year 2006/2007</t>
  </si>
  <si>
    <t>Fiscal Year 2007/2008</t>
  </si>
  <si>
    <t>Fiscal Year 2010/2011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</si>
  <si>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Empire City at Yonkers Raceway facility received the following aid payments: </t>
  </si>
  <si>
    <t xml:space="preserve">                Note: The percentages above reflect revised legislation that went into effect August 11, 2010. This legislation lowered Racetrack Commissions</t>
  </si>
  <si>
    <t xml:space="preserve">                and increased Education Contribution by 1%.</t>
  </si>
  <si>
    <t>Free Play</t>
  </si>
  <si>
    <t>Fiscal Year 2011/2012</t>
  </si>
  <si>
    <t>Agent Commission:</t>
  </si>
  <si>
    <t>The portion of Net Win paid to the casino operator as compensation for operating the gaming facility. Most operating expenses</t>
  </si>
  <si>
    <t xml:space="preserve">The portion of the Net Win paid to the casino operator to finance the costs of advertising, marketing and promoting </t>
  </si>
  <si>
    <t>video lottery play at the casino.</t>
  </si>
  <si>
    <t>Gaming Floor &amp; Admin</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</si>
  <si>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</si>
  <si>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</si>
  <si>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</si>
  <si>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</si>
  <si>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</si>
  <si>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</si>
  <si>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</si>
  <si>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</si>
  <si>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The amount of promotional free play included in Credits Played that is subsidized by the State through a reduction to Net Win.</t>
  </si>
  <si>
    <t>Agent Commission</t>
  </si>
  <si>
    <t>Operator</t>
  </si>
  <si>
    <t>Purses</t>
  </si>
  <si>
    <t>Breeders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</si>
  <si>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Empire City Casino at Yonkers Raceway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</si>
  <si>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</si>
  <si>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</si>
  <si>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</si>
  <si>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Empire City Casino at Yonkers Raceway facility received the following aid payments: </t>
  </si>
  <si>
    <t>Free Play Allowance:</t>
  </si>
  <si>
    <t>Source:  New York State Gaming Commission</t>
  </si>
  <si>
    <t>Fiscal Year 2013/2014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</si>
  <si>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Empire City Casino at Yonkers Raceway facility were scheduled to receive the following aid payment: </t>
  </si>
  <si>
    <t>The amount of onscreen credits won on a VGM (prize payout).  Also includes any progressive jackpot liability due to players.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</si>
  <si>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Empire City Casino at Yonkers Raceway facility were scheduled to receive the following aid payment: </t>
  </si>
  <si>
    <t>Fiscal Year 2014/2015</t>
  </si>
  <si>
    <t>Fiscal Year 2015/2016</t>
  </si>
  <si>
    <t>Fiscal Year 2016/2017</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</si>
  <si>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Empire City Casino at Yonkers Raceway facility were scheduled to receive the following aid payment: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</si>
  <si>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Empire City Casino at Yonkers Raceway facility were scheduled to receive the following aid payment: </t>
  </si>
  <si>
    <t>Fiscal Year 2017/2018</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</si>
  <si>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Empire City Casino at Yonkers Raceway facility were scheduled to receive the following aid payment: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</si>
  <si>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Empire City Casino at Yonkers Raceway facility were scheduled to receive the following aid payment: </t>
  </si>
  <si>
    <t>Fiscal Year 2018/2019</t>
  </si>
  <si>
    <t>Fiscal Year 2019/2020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</si>
  <si>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Empire City Casino at Yonkers Raceway facility were scheduled to receive the following aid payment: </t>
  </si>
  <si>
    <t>Pursuant to the new provisions, agent commission rates are inclusive of marketing and capital award funds. Agents shall</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</si>
  <si>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</si>
  <si>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dedicate 4% of net win, subject to a $2.5 million annual cap, to capital award projects.</t>
  </si>
  <si>
    <t>Fiscal Year 2020/2021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</si>
  <si>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2020-2021 host municipalities of the Empire City Casino at Yonkers Raceway facility were scheduled to receive the following aid payment: </t>
  </si>
  <si>
    <t>Fiscal Year 2021/2022</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</si>
  <si>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2021-2022 host municipalities of the Empire City Casino at Yonkers Raceway facility were scheduled to receive the following aid payment: </t>
  </si>
  <si>
    <t>Fiscal Year 2022/2023</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</si>
  <si>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2022-2023 host municipalities of the Empire City Casino at Yonkers Raceway facility were scheduled to receive the following aid payment: </t>
  </si>
  <si>
    <t>Fiscal Year 2023/2024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</si>
  <si>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2023-2024 host municipalities of the Empire City Casino at Yonkers Raceway facility were scheduled to receive the following aid payment: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</si>
</sst>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mmm\-yyyy"/>
    <numFmt numFmtId="173" formatCode="&quot;$&quot;#,##0.000_);[Red]\(&quot;$&quot;#,##0.000\)"/>
    <numFmt numFmtId="174" formatCode="&quot;$&quot;#,##0.0000_);[Red]\(&quot;$&quot;#,##0.0000\)"/>
  </numFmts>
  <fonts count="48">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1" fillId="0" borderId="0">
      <alignment vertical="top"/>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0" fillId="0" borderId="0" xfId="0" applyNumberFormat="1" applyFont="1" applyAlignment="1">
      <alignment horizontal="lef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0" fontId="0" fillId="0" borderId="0" xfId="0" applyFont="1" applyAlignment="1">
      <alignment horizontal="left" vertical="top"/>
    </xf>
    <xf numFmtId="9" fontId="0" fillId="0" borderId="0" xfId="0" applyNumberFormat="1" applyFont="1" applyAlignment="1">
      <alignment horizontal="center"/>
    </xf>
    <xf numFmtId="9" fontId="11" fillId="0" borderId="0" xfId="0" applyNumberFormat="1" applyFont="1" applyBorder="1" applyAlignment="1">
      <alignment horizontal="center"/>
    </xf>
    <xf numFmtId="6" fontId="5" fillId="0" borderId="0" xfId="0" applyNumberFormat="1" applyFont="1" applyAlignment="1">
      <alignment/>
    </xf>
    <xf numFmtId="165" fontId="9" fillId="0" borderId="0" xfId="61" applyNumberFormat="1" applyFont="1" applyAlignment="1">
      <alignment horizontal="left"/>
      <protection/>
    </xf>
    <xf numFmtId="6" fontId="0" fillId="0" borderId="0" xfId="61" applyNumberFormat="1" applyFont="1">
      <alignment vertical="top"/>
      <protection/>
    </xf>
    <xf numFmtId="6" fontId="0" fillId="0" borderId="0" xfId="61" applyNumberFormat="1" applyFont="1" applyAlignment="1">
      <alignment/>
      <protection/>
    </xf>
    <xf numFmtId="6" fontId="0" fillId="0" borderId="0" xfId="61" applyNumberFormat="1" applyFont="1" applyAlignment="1">
      <alignment wrapText="1"/>
      <protection/>
    </xf>
    <xf numFmtId="0" fontId="1" fillId="0" borderId="0" xfId="61">
      <alignment vertical="top"/>
      <protection/>
    </xf>
    <xf numFmtId="6" fontId="1" fillId="0" borderId="0" xfId="61" applyNumberFormat="1">
      <alignment vertical="top"/>
      <protection/>
    </xf>
    <xf numFmtId="38" fontId="0" fillId="0" borderId="0" xfId="61" applyNumberFormat="1" applyFont="1">
      <alignment vertical="top"/>
      <protection/>
    </xf>
    <xf numFmtId="165" fontId="0" fillId="0" borderId="0" xfId="61" applyNumberFormat="1" applyFont="1" applyAlignment="1">
      <alignment horizontal="left"/>
      <protection/>
    </xf>
    <xf numFmtId="165" fontId="11" fillId="0" borderId="0" xfId="61" applyNumberFormat="1" applyFont="1" applyAlignment="1">
      <alignment horizontal="left"/>
      <protection/>
    </xf>
    <xf numFmtId="6" fontId="11" fillId="0" borderId="0" xfId="61" applyNumberFormat="1" applyFont="1">
      <alignment vertical="top"/>
      <protection/>
    </xf>
    <xf numFmtId="38" fontId="11" fillId="0" borderId="0" xfId="61" applyNumberFormat="1" applyFont="1">
      <alignment vertical="top"/>
      <protection/>
    </xf>
    <xf numFmtId="0" fontId="0" fillId="0" borderId="0" xfId="0" applyFont="1" applyBorder="1" applyAlignment="1">
      <alignment horizontal="left" vertical="top"/>
    </xf>
    <xf numFmtId="165" fontId="0" fillId="0" borderId="0" xfId="0" applyNumberFormat="1" applyAlignment="1">
      <alignment/>
    </xf>
    <xf numFmtId="6" fontId="10" fillId="0" borderId="0" xfId="61" applyNumberFormat="1" applyFont="1" applyAlignment="1">
      <alignment horizontal="center"/>
      <protection/>
    </xf>
    <xf numFmtId="6" fontId="10" fillId="0" borderId="10" xfId="61" applyNumberFormat="1" applyFont="1" applyBorder="1" applyAlignment="1">
      <alignment horizontal="center"/>
      <protection/>
    </xf>
    <xf numFmtId="6" fontId="10" fillId="0" borderId="10" xfId="0" applyNumberFormat="1" applyFont="1" applyBorder="1" applyAlignment="1">
      <alignment horizontal="right"/>
    </xf>
    <xf numFmtId="10" fontId="0" fillId="0" borderId="0" xfId="0" applyNumberFormat="1" applyFont="1" applyAlignment="1">
      <alignment horizontal="center"/>
    </xf>
    <xf numFmtId="10" fontId="0" fillId="0" borderId="0" xfId="0" applyNumberFormat="1" applyFont="1" applyAlignment="1">
      <alignment horizontal="right"/>
    </xf>
    <xf numFmtId="10" fontId="0" fillId="0" borderId="0" xfId="0" applyNumberFormat="1" applyFont="1" applyAlignment="1">
      <alignment/>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xf numFmtId="0" fontId="0" fillId="0" borderId="0" xfId="57" applyAlignment="1">
      <alignment/>
      <protection/>
    </xf>
    <xf numFmtId="6" fontId="0" fillId="0" borderId="0" xfId="57" applyNumberFormat="1" applyAlignment="1">
      <alignment/>
      <protection/>
    </xf>
    <xf numFmtId="38" fontId="0" fillId="0" borderId="0" xfId="57" applyNumberFormat="1" applyAlignment="1">
      <alignment/>
      <protection/>
    </xf>
    <xf numFmtId="165" fontId="0" fillId="0" borderId="0" xfId="57" applyNumberFormat="1" applyAlignment="1">
      <alignment horizontal="center"/>
      <protection/>
    </xf>
    <xf numFmtId="165" fontId="0" fillId="0" borderId="0" xfId="57" applyNumberFormat="1" applyFont="1" applyAlignment="1">
      <alignment horizontal="left"/>
      <protection/>
    </xf>
    <xf numFmtId="165" fontId="0" fillId="0" borderId="0" xfId="57" applyNumberFormat="1" applyAlignment="1">
      <alignment horizontal="left"/>
      <protection/>
    </xf>
    <xf numFmtId="9" fontId="11" fillId="0" borderId="0" xfId="57" applyNumberFormat="1" applyFont="1" applyBorder="1" applyAlignment="1">
      <alignment horizontal="center"/>
      <protection/>
    </xf>
    <xf numFmtId="9" fontId="0" fillId="0" borderId="0" xfId="57" applyNumberFormat="1" applyFont="1" applyAlignment="1">
      <alignment horizontal="center"/>
      <protection/>
    </xf>
    <xf numFmtId="6" fontId="0" fillId="0" borderId="0" xfId="57" applyNumberFormat="1" applyFont="1" applyAlignment="1">
      <alignment/>
      <protection/>
    </xf>
    <xf numFmtId="38" fontId="0" fillId="0" borderId="0" xfId="57" applyNumberFormat="1" applyFont="1" applyAlignment="1">
      <alignment/>
      <protection/>
    </xf>
    <xf numFmtId="0" fontId="0" fillId="0" borderId="0" xfId="57" applyFont="1" applyBorder="1" applyAlignment="1">
      <alignment horizontal="left" vertical="top"/>
      <protection/>
    </xf>
    <xf numFmtId="10" fontId="0" fillId="0" borderId="0" xfId="57" applyNumberFormat="1" applyFont="1" applyAlignment="1">
      <alignment horizontal="center"/>
      <protection/>
    </xf>
    <xf numFmtId="10" fontId="0" fillId="0" borderId="0" xfId="57" applyNumberFormat="1" applyFont="1" applyAlignment="1">
      <alignment/>
      <protection/>
    </xf>
    <xf numFmtId="10" fontId="0" fillId="0" borderId="0" xfId="57" applyNumberFormat="1" applyFont="1" applyAlignment="1">
      <alignment horizontal="right"/>
      <protection/>
    </xf>
    <xf numFmtId="6" fontId="11" fillId="0" borderId="0" xfId="57" applyNumberFormat="1" applyFont="1" applyBorder="1" applyAlignment="1">
      <alignment horizontal="center"/>
      <protection/>
    </xf>
    <xf numFmtId="6" fontId="10" fillId="0" borderId="10" xfId="57" applyNumberFormat="1" applyFont="1" applyBorder="1" applyAlignment="1">
      <alignment horizontal="center"/>
      <protection/>
    </xf>
    <xf numFmtId="6" fontId="9" fillId="0" borderId="10" xfId="57" applyNumberFormat="1" applyFont="1" applyBorder="1" applyAlignment="1">
      <alignment/>
      <protection/>
    </xf>
    <xf numFmtId="6" fontId="10" fillId="0" borderId="10" xfId="57" applyNumberFormat="1" applyFont="1" applyBorder="1" applyAlignment="1">
      <alignment horizontal="right"/>
      <protection/>
    </xf>
    <xf numFmtId="0" fontId="11" fillId="0" borderId="0" xfId="57" applyFont="1" applyAlignment="1">
      <alignment/>
      <protection/>
    </xf>
    <xf numFmtId="6" fontId="10" fillId="0" borderId="0" xfId="57" applyNumberFormat="1" applyFont="1" applyAlignment="1">
      <alignment horizontal="center"/>
      <protection/>
    </xf>
    <xf numFmtId="0" fontId="12" fillId="0" borderId="0" xfId="57" applyFont="1" applyAlignment="1">
      <alignment/>
      <protection/>
    </xf>
    <xf numFmtId="6" fontId="11" fillId="0" borderId="0" xfId="57" applyNumberFormat="1" applyFont="1" applyAlignment="1">
      <alignment/>
      <protection/>
    </xf>
    <xf numFmtId="38" fontId="11" fillId="0" borderId="0" xfId="57" applyNumberFormat="1" applyFont="1" applyAlignment="1">
      <alignment/>
      <protection/>
    </xf>
    <xf numFmtId="165" fontId="11" fillId="0" borderId="0" xfId="57" applyNumberFormat="1" applyFont="1" applyAlignment="1">
      <alignment horizontal="left"/>
      <protection/>
    </xf>
    <xf numFmtId="165" fontId="9" fillId="0" borderId="0" xfId="57" applyNumberFormat="1" applyFont="1" applyAlignment="1">
      <alignment horizontal="left"/>
      <protection/>
    </xf>
    <xf numFmtId="0" fontId="0" fillId="0" borderId="0" xfId="57" applyFont="1" applyAlignment="1">
      <alignment/>
      <protection/>
    </xf>
    <xf numFmtId="171" fontId="0" fillId="0" borderId="0" xfId="57" applyNumberFormat="1" applyAlignment="1">
      <alignment/>
      <protection/>
    </xf>
    <xf numFmtId="171" fontId="0" fillId="0" borderId="0" xfId="57" applyNumberFormat="1" applyBorder="1" applyAlignment="1">
      <alignment/>
      <protection/>
    </xf>
    <xf numFmtId="171" fontId="0" fillId="0" borderId="0" xfId="57" applyNumberFormat="1" applyAlignment="1">
      <alignment horizontal="center"/>
      <protection/>
    </xf>
    <xf numFmtId="6" fontId="0" fillId="0" borderId="0" xfId="57" applyNumberFormat="1" applyBorder="1" applyAlignment="1">
      <alignment/>
      <protection/>
    </xf>
    <xf numFmtId="6" fontId="9" fillId="0" borderId="11" xfId="57" applyNumberFormat="1" applyFont="1" applyBorder="1" applyAlignment="1">
      <alignment/>
      <protection/>
    </xf>
    <xf numFmtId="6" fontId="9" fillId="0" borderId="0" xfId="57" applyNumberFormat="1" applyFont="1" applyAlignment="1">
      <alignment/>
      <protection/>
    </xf>
    <xf numFmtId="38" fontId="9" fillId="0" borderId="11" xfId="57" applyNumberFormat="1" applyFont="1" applyBorder="1" applyAlignment="1">
      <alignment/>
      <protection/>
    </xf>
    <xf numFmtId="165" fontId="9" fillId="0" borderId="0" xfId="57" applyNumberFormat="1" applyFont="1" applyAlignment="1">
      <alignment horizontal="center"/>
      <protection/>
    </xf>
    <xf numFmtId="0" fontId="10" fillId="0" borderId="0" xfId="57" applyFont="1" applyAlignment="1">
      <alignment horizontal="center"/>
      <protection/>
    </xf>
    <xf numFmtId="6" fontId="10" fillId="0" borderId="0" xfId="57" applyNumberFormat="1" applyFont="1" applyBorder="1" applyAlignment="1">
      <alignment horizontal="center"/>
      <protection/>
    </xf>
    <xf numFmtId="38" fontId="10" fillId="0" borderId="10" xfId="57" applyNumberFormat="1" applyFont="1" applyBorder="1" applyAlignment="1">
      <alignment horizontal="center"/>
      <protection/>
    </xf>
    <xf numFmtId="165" fontId="10" fillId="0" borderId="10" xfId="57" applyNumberFormat="1" applyFont="1" applyBorder="1" applyAlignment="1">
      <alignment horizontal="center"/>
      <protection/>
    </xf>
    <xf numFmtId="38" fontId="10" fillId="0" borderId="0" xfId="57" applyNumberFormat="1" applyFont="1" applyAlignment="1">
      <alignment horizontal="center"/>
      <protection/>
    </xf>
    <xf numFmtId="165" fontId="10" fillId="0" borderId="0" xfId="57" applyNumberFormat="1" applyFont="1" applyAlignment="1">
      <alignment horizontal="center"/>
      <protection/>
    </xf>
    <xf numFmtId="0" fontId="0" fillId="0" borderId="0" xfId="57" applyAlignment="1">
      <alignment horizontal="center"/>
      <protection/>
    </xf>
    <xf numFmtId="6" fontId="0" fillId="0" borderId="0" xfId="57" applyNumberFormat="1" applyAlignment="1">
      <alignment horizontal="center"/>
      <protection/>
    </xf>
    <xf numFmtId="38" fontId="0" fillId="0" borderId="0" xfId="57" applyNumberFormat="1" applyAlignment="1">
      <alignment horizontal="center"/>
      <protection/>
    </xf>
    <xf numFmtId="6" fontId="0" fillId="0" borderId="0" xfId="57" applyNumberFormat="1" applyAlignment="1">
      <alignment horizontal="left"/>
      <protection/>
    </xf>
    <xf numFmtId="0" fontId="0" fillId="0" borderId="0" xfId="57" applyFont="1" applyAlignment="1">
      <alignment horizontal="center"/>
      <protection/>
    </xf>
    <xf numFmtId="6" fontId="8" fillId="0" borderId="0" xfId="57" applyNumberFormat="1" applyFont="1" applyAlignment="1">
      <alignment horizontal="center"/>
      <protection/>
    </xf>
    <xf numFmtId="0" fontId="0" fillId="0" borderId="0" xfId="57" applyFont="1" applyBorder="1" applyAlignment="1">
      <alignment vertical="top"/>
      <protection/>
    </xf>
    <xf numFmtId="0" fontId="1" fillId="0" borderId="0" xfId="61" applyFont="1">
      <alignment vertical="top"/>
      <protection/>
    </xf>
    <xf numFmtId="6" fontId="1" fillId="0" borderId="0" xfId="61" applyNumberFormat="1" applyFont="1">
      <alignment vertical="top"/>
      <protection/>
    </xf>
    <xf numFmtId="8" fontId="0" fillId="0" borderId="0" xfId="57" applyNumberFormat="1" applyAlignment="1">
      <alignment/>
      <protection/>
    </xf>
    <xf numFmtId="165" fontId="0" fillId="0" borderId="0" xfId="57" applyNumberFormat="1" applyFont="1" applyAlignment="1">
      <alignment horizontal="left" vertical="center"/>
      <protection/>
    </xf>
    <xf numFmtId="6" fontId="0" fillId="0" borderId="0" xfId="57" applyNumberFormat="1" applyAlignment="1">
      <alignment vertical="center"/>
      <protection/>
    </xf>
    <xf numFmtId="38" fontId="0" fillId="0" borderId="0" xfId="57" applyNumberFormat="1" applyAlignment="1">
      <alignment vertical="center"/>
      <protection/>
    </xf>
    <xf numFmtId="6" fontId="10" fillId="0" borderId="10" xfId="57" applyNumberFormat="1" applyFont="1" applyBorder="1" applyAlignment="1">
      <alignment horizontal="center"/>
      <protection/>
    </xf>
    <xf numFmtId="165" fontId="9" fillId="33" borderId="12" xfId="57" applyNumberFormat="1" applyFont="1" applyFill="1" applyBorder="1" applyAlignment="1">
      <alignment horizontal="center"/>
      <protection/>
    </xf>
    <xf numFmtId="165" fontId="9" fillId="33" borderId="13" xfId="57" applyNumberFormat="1" applyFont="1" applyFill="1" applyBorder="1" applyAlignment="1">
      <alignment horizontal="center"/>
      <protection/>
    </xf>
    <xf numFmtId="6" fontId="9" fillId="33" borderId="12" xfId="57" applyNumberFormat="1" applyFont="1" applyFill="1" applyBorder="1" applyAlignment="1">
      <alignment horizontal="center"/>
      <protection/>
    </xf>
    <xf numFmtId="6" fontId="9" fillId="33" borderId="13" xfId="57" applyNumberFormat="1" applyFont="1" applyFill="1" applyBorder="1" applyAlignment="1">
      <alignment horizontal="center"/>
      <protection/>
    </xf>
    <xf numFmtId="0" fontId="0" fillId="0" borderId="0" xfId="61" applyNumberFormat="1" applyFont="1" applyBorder="1" applyAlignment="1">
      <alignment horizontal="left" wrapText="1"/>
      <protection/>
    </xf>
    <xf numFmtId="0" fontId="0" fillId="0" borderId="0" xfId="61" applyNumberFormat="1" applyFont="1" applyBorder="1" applyAlignment="1">
      <alignment horizontal="left" wrapText="1"/>
      <protection/>
    </xf>
    <xf numFmtId="6" fontId="5" fillId="0" borderId="0" xfId="57" applyNumberFormat="1" applyFont="1" applyAlignment="1">
      <alignment horizontal="center"/>
      <protection/>
    </xf>
    <xf numFmtId="6" fontId="6" fillId="0" borderId="0" xfId="57" applyNumberFormat="1" applyFont="1" applyAlignment="1">
      <alignment horizontal="center"/>
      <protection/>
    </xf>
    <xf numFmtId="6" fontId="7" fillId="0" borderId="0" xfId="53" applyNumberFormat="1" applyFont="1" applyAlignment="1" applyProtection="1">
      <alignment horizontal="center"/>
      <protection/>
    </xf>
    <xf numFmtId="6" fontId="8" fillId="0" borderId="0" xfId="57" applyNumberFormat="1" applyFont="1" applyAlignment="1">
      <alignment horizontal="center"/>
      <protection/>
    </xf>
    <xf numFmtId="6" fontId="9" fillId="33" borderId="14" xfId="57" applyNumberFormat="1" applyFont="1" applyFill="1" applyBorder="1" applyAlignment="1">
      <alignment horizontal="center"/>
      <protection/>
    </xf>
    <xf numFmtId="165" fontId="9" fillId="33" borderId="14" xfId="57" applyNumberFormat="1" applyFont="1" applyFill="1" applyBorder="1" applyAlignment="1">
      <alignment horizontal="center"/>
      <protection/>
    </xf>
    <xf numFmtId="0" fontId="0" fillId="0" borderId="0" xfId="57" applyFont="1" applyBorder="1" applyAlignment="1">
      <alignment horizontal="left" vertical="top"/>
      <protection/>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6" fontId="9" fillId="33" borderId="14" xfId="0" applyNumberFormat="1" applyFont="1" applyFill="1" applyBorder="1" applyAlignment="1">
      <alignment horizontal="center"/>
    </xf>
    <xf numFmtId="0" fontId="0" fillId="0" borderId="0" xfId="61" applyNumberFormat="1" applyFont="1" applyBorder="1" applyAlignment="1">
      <alignment horizontal="left" wrapText="1"/>
      <protection/>
    </xf>
    <xf numFmtId="6" fontId="10" fillId="0" borderId="10" xfId="0" applyNumberFormat="1" applyFont="1" applyBorder="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165" fontId="9" fillId="33" borderId="14" xfId="0" applyNumberFormat="1" applyFont="1" applyFill="1" applyBorder="1" applyAlignment="1">
      <alignment horizontal="center"/>
    </xf>
    <xf numFmtId="0" fontId="0" fillId="0" borderId="0" xfId="0" applyFont="1" applyBorder="1" applyAlignment="1">
      <alignment horizontal="left" vertical="top"/>
    </xf>
    <xf numFmtId="6" fontId="5" fillId="0" borderId="0" xfId="0" applyNumberFormat="1" applyFont="1" applyAlignment="1">
      <alignment horizontal="center"/>
    </xf>
    <xf numFmtId="6" fontId="6" fillId="0" borderId="0" xfId="0" applyNumberFormat="1" applyFont="1" applyAlignment="1">
      <alignment horizontal="center"/>
    </xf>
    <xf numFmtId="6" fontId="8" fillId="0" borderId="0" xfId="0" applyNumberFormat="1" applyFont="1" applyAlignment="1">
      <alignment horizontal="center"/>
    </xf>
    <xf numFmtId="0" fontId="0" fillId="0" borderId="0" xfId="61" applyNumberFormat="1" applyFont="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3</xdr:col>
      <xdr:colOff>66675</xdr:colOff>
      <xdr:row>3</xdr:row>
      <xdr:rowOff>114300</xdr:rowOff>
    </xdr:to>
    <xdr:pic>
      <xdr:nvPicPr>
        <xdr:cNvPr id="1" name="Picture 1"/>
        <xdr:cNvPicPr preferRelativeResize="1">
          <a:picLocks noChangeAspect="1"/>
        </xdr:cNvPicPr>
      </xdr:nvPicPr>
      <xdr:blipFill>
        <a:blip r:embed="rId1"/>
        <a:stretch>
          <a:fillRect/>
        </a:stretch>
      </xdr:blipFill>
      <xdr:spPr>
        <a:xfrm>
          <a:off x="152400" y="85725"/>
          <a:ext cx="241935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66675</xdr:rowOff>
    </xdr:from>
    <xdr:to>
      <xdr:col>2</xdr:col>
      <xdr:colOff>419100</xdr:colOff>
      <xdr:row>5</xdr:row>
      <xdr:rowOff>95250</xdr:rowOff>
    </xdr:to>
    <xdr:pic>
      <xdr:nvPicPr>
        <xdr:cNvPr id="1" name="Picture 1" descr="EmpireCityCasinoLogo"/>
        <xdr:cNvPicPr preferRelativeResize="1">
          <a:picLocks noChangeAspect="1"/>
        </xdr:cNvPicPr>
      </xdr:nvPicPr>
      <xdr:blipFill>
        <a:blip r:embed="rId1"/>
        <a:stretch>
          <a:fillRect/>
        </a:stretch>
      </xdr:blipFill>
      <xdr:spPr>
        <a:xfrm>
          <a:off x="323850" y="66675"/>
          <a:ext cx="1676400" cy="1000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2</xdr:col>
      <xdr:colOff>76200</xdr:colOff>
      <xdr:row>5</xdr:row>
      <xdr:rowOff>180975</xdr:rowOff>
    </xdr:to>
    <xdr:pic>
      <xdr:nvPicPr>
        <xdr:cNvPr id="1" name="Picture 1" descr="EmpireCityCasinoLogo"/>
        <xdr:cNvPicPr preferRelativeResize="1">
          <a:picLocks noChangeAspect="1"/>
        </xdr:cNvPicPr>
      </xdr:nvPicPr>
      <xdr:blipFill>
        <a:blip r:embed="rId1"/>
        <a:stretch>
          <a:fillRect/>
        </a:stretch>
      </xdr:blipFill>
      <xdr:spPr>
        <a:xfrm>
          <a:off x="257175" y="190500"/>
          <a:ext cx="1400175" cy="962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47625</xdr:rowOff>
    </xdr:from>
    <xdr:to>
      <xdr:col>2</xdr:col>
      <xdr:colOff>323850</xdr:colOff>
      <xdr:row>5</xdr:row>
      <xdr:rowOff>66675</xdr:rowOff>
    </xdr:to>
    <xdr:pic>
      <xdr:nvPicPr>
        <xdr:cNvPr id="1" name="Picture 2" descr="EmpireCityCasinoLogo"/>
        <xdr:cNvPicPr preferRelativeResize="1">
          <a:picLocks noChangeAspect="1"/>
        </xdr:cNvPicPr>
      </xdr:nvPicPr>
      <xdr:blipFill>
        <a:blip r:embed="rId1"/>
        <a:stretch>
          <a:fillRect/>
        </a:stretch>
      </xdr:blipFill>
      <xdr:spPr>
        <a:xfrm>
          <a:off x="476250" y="47625"/>
          <a:ext cx="1409700" cy="990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2</xdr:col>
      <xdr:colOff>85725</xdr:colOff>
      <xdr:row>5</xdr:row>
      <xdr:rowOff>180975</xdr:rowOff>
    </xdr:to>
    <xdr:pic>
      <xdr:nvPicPr>
        <xdr:cNvPr id="1" name="Picture 2" descr="EmpireCityCasinoLogo"/>
        <xdr:cNvPicPr preferRelativeResize="1">
          <a:picLocks noChangeAspect="1"/>
        </xdr:cNvPicPr>
      </xdr:nvPicPr>
      <xdr:blipFill>
        <a:blip r:embed="rId1"/>
        <a:stretch>
          <a:fillRect/>
        </a:stretch>
      </xdr:blipFill>
      <xdr:spPr>
        <a:xfrm>
          <a:off x="257175" y="190500"/>
          <a:ext cx="1390650" cy="962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190500</xdr:rowOff>
    </xdr:from>
    <xdr:to>
      <xdr:col>2</xdr:col>
      <xdr:colOff>85725</xdr:colOff>
      <xdr:row>5</xdr:row>
      <xdr:rowOff>180975</xdr:rowOff>
    </xdr:to>
    <xdr:pic>
      <xdr:nvPicPr>
        <xdr:cNvPr id="1" name="Picture 2" descr="EmpireCityCasinoLogo"/>
        <xdr:cNvPicPr preferRelativeResize="1">
          <a:picLocks noChangeAspect="1"/>
        </xdr:cNvPicPr>
      </xdr:nvPicPr>
      <xdr:blipFill>
        <a:blip r:embed="rId1"/>
        <a:stretch>
          <a:fillRect/>
        </a:stretch>
      </xdr:blipFill>
      <xdr:spPr>
        <a:xfrm>
          <a:off x="257175" y="190500"/>
          <a:ext cx="13906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3</xdr:col>
      <xdr:colOff>66675</xdr:colOff>
      <xdr:row>3</xdr:row>
      <xdr:rowOff>114300</xdr:rowOff>
    </xdr:to>
    <xdr:pic>
      <xdr:nvPicPr>
        <xdr:cNvPr id="1" name="Picture 1"/>
        <xdr:cNvPicPr preferRelativeResize="1">
          <a:picLocks noChangeAspect="1"/>
        </xdr:cNvPicPr>
      </xdr:nvPicPr>
      <xdr:blipFill>
        <a:blip r:embed="rId1"/>
        <a:stretch>
          <a:fillRect/>
        </a:stretch>
      </xdr:blipFill>
      <xdr:spPr>
        <a:xfrm>
          <a:off x="152400" y="85725"/>
          <a:ext cx="24193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3</xdr:col>
      <xdr:colOff>66675</xdr:colOff>
      <xdr:row>3</xdr:row>
      <xdr:rowOff>114300</xdr:rowOff>
    </xdr:to>
    <xdr:pic>
      <xdr:nvPicPr>
        <xdr:cNvPr id="1" name="Picture 1"/>
        <xdr:cNvPicPr preferRelativeResize="1">
          <a:picLocks noChangeAspect="1"/>
        </xdr:cNvPicPr>
      </xdr:nvPicPr>
      <xdr:blipFill>
        <a:blip r:embed="rId1"/>
        <a:stretch>
          <a:fillRect/>
        </a:stretch>
      </xdr:blipFill>
      <xdr:spPr>
        <a:xfrm>
          <a:off x="152400" y="85725"/>
          <a:ext cx="24193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3</xdr:col>
      <xdr:colOff>66675</xdr:colOff>
      <xdr:row>3</xdr:row>
      <xdr:rowOff>114300</xdr:rowOff>
    </xdr:to>
    <xdr:pic>
      <xdr:nvPicPr>
        <xdr:cNvPr id="1" name="Picture 1"/>
        <xdr:cNvPicPr preferRelativeResize="1">
          <a:picLocks noChangeAspect="1"/>
        </xdr:cNvPicPr>
      </xdr:nvPicPr>
      <xdr:blipFill>
        <a:blip r:embed="rId1"/>
        <a:stretch>
          <a:fillRect/>
        </a:stretch>
      </xdr:blipFill>
      <xdr:spPr>
        <a:xfrm>
          <a:off x="152400" y="85725"/>
          <a:ext cx="24193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866900"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857375" cy="1000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552450</xdr:colOff>
      <xdr:row>5</xdr:row>
      <xdr:rowOff>85725</xdr:rowOff>
    </xdr:to>
    <xdr:pic>
      <xdr:nvPicPr>
        <xdr:cNvPr id="1" name="Picture 1" descr="EmpireCityCasinoLogo"/>
        <xdr:cNvPicPr preferRelativeResize="1">
          <a:picLocks noChangeAspect="1"/>
        </xdr:cNvPicPr>
      </xdr:nvPicPr>
      <xdr:blipFill>
        <a:blip r:embed="rId1"/>
        <a:stretch>
          <a:fillRect/>
        </a:stretch>
      </xdr:blipFill>
      <xdr:spPr>
        <a:xfrm>
          <a:off x="342900" y="57150"/>
          <a:ext cx="17907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yonkersraceway.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tabSelected="1" zoomScale="90" zoomScaleNormal="90" zoomScalePageLayoutView="0" workbookViewId="0" topLeftCell="A1">
      <selection activeCell="I26" sqref="I26:K26"/>
    </sheetView>
  </sheetViews>
  <sheetFormatPr defaultColWidth="9.140625" defaultRowHeight="12.75"/>
  <cols>
    <col min="1" max="1" width="9.28125" style="66" customWidth="1"/>
    <col min="2" max="2" width="15.57421875" style="64" bestFit="1" customWidth="1"/>
    <col min="3" max="3" width="12.7109375" style="64" customWidth="1"/>
    <col min="4" max="4" width="15.57421875" style="64" bestFit="1" customWidth="1"/>
    <col min="5" max="5" width="13.8515625" style="64" customWidth="1"/>
    <col min="6" max="6" width="10.57421875" style="65" customWidth="1"/>
    <col min="7" max="7" width="10.57421875" style="64" customWidth="1"/>
    <col min="8" max="8" width="2.7109375" style="64" customWidth="1"/>
    <col min="9" max="9" width="13.8515625" style="64" bestFit="1" customWidth="1"/>
    <col min="10" max="10" width="13.00390625" style="64" customWidth="1"/>
    <col min="11" max="11" width="13.8515625" style="64" bestFit="1" customWidth="1"/>
    <col min="12" max="12" width="14.421875" style="63" bestFit="1" customWidth="1"/>
    <col min="13" max="16384" width="9.140625" style="63" customWidth="1"/>
  </cols>
  <sheetData>
    <row r="1" spans="1:11" ht="18">
      <c r="A1" s="123" t="s">
        <v>50</v>
      </c>
      <c r="B1" s="123"/>
      <c r="C1" s="123"/>
      <c r="D1" s="123"/>
      <c r="E1" s="123"/>
      <c r="F1" s="123"/>
      <c r="G1" s="123"/>
      <c r="H1" s="123"/>
      <c r="I1" s="123"/>
      <c r="J1" s="123"/>
      <c r="K1" s="123"/>
    </row>
    <row r="2" spans="1:11" ht="15">
      <c r="A2" s="124" t="s">
        <v>0</v>
      </c>
      <c r="B2" s="124"/>
      <c r="C2" s="124"/>
      <c r="D2" s="124"/>
      <c r="E2" s="124"/>
      <c r="F2" s="124"/>
      <c r="G2" s="124"/>
      <c r="H2" s="124"/>
      <c r="I2" s="124"/>
      <c r="J2" s="124"/>
      <c r="K2" s="124"/>
    </row>
    <row r="3" spans="1:11" s="103" customFormat="1" ht="15">
      <c r="A3" s="124" t="s">
        <v>1</v>
      </c>
      <c r="B3" s="124"/>
      <c r="C3" s="124"/>
      <c r="D3" s="124"/>
      <c r="E3" s="124"/>
      <c r="F3" s="124"/>
      <c r="G3" s="124"/>
      <c r="H3" s="124"/>
      <c r="I3" s="124"/>
      <c r="J3" s="124"/>
      <c r="K3" s="124"/>
    </row>
    <row r="4" spans="1:11" s="103" customFormat="1" ht="14.25">
      <c r="A4" s="125" t="s">
        <v>2</v>
      </c>
      <c r="B4" s="125"/>
      <c r="C4" s="125"/>
      <c r="D4" s="125"/>
      <c r="E4" s="125"/>
      <c r="F4" s="125"/>
      <c r="G4" s="125"/>
      <c r="H4" s="125"/>
      <c r="I4" s="125"/>
      <c r="J4" s="125"/>
      <c r="K4" s="125"/>
    </row>
    <row r="5" spans="1:11" s="103" customFormat="1" ht="14.25">
      <c r="A5" s="126" t="s">
        <v>3</v>
      </c>
      <c r="B5" s="126"/>
      <c r="C5" s="126"/>
      <c r="D5" s="126"/>
      <c r="E5" s="126"/>
      <c r="F5" s="126"/>
      <c r="G5" s="126"/>
      <c r="H5" s="126"/>
      <c r="I5" s="126"/>
      <c r="J5" s="126"/>
      <c r="K5" s="126"/>
    </row>
    <row r="6" spans="1:11" s="103" customFormat="1" ht="14.25">
      <c r="A6" s="108"/>
      <c r="B6" s="108"/>
      <c r="C6" s="108"/>
      <c r="D6" s="108"/>
      <c r="E6" s="108"/>
      <c r="F6" s="108"/>
      <c r="G6" s="108"/>
      <c r="H6" s="108"/>
      <c r="I6" s="108"/>
      <c r="J6" s="108"/>
      <c r="K6" s="108"/>
    </row>
    <row r="7" spans="1:11" s="103" customFormat="1" ht="12.75">
      <c r="A7" s="66"/>
      <c r="B7" s="106"/>
      <c r="C7" s="106"/>
      <c r="D7" s="106"/>
      <c r="E7" s="104"/>
      <c r="F7" s="105"/>
      <c r="G7" s="104"/>
      <c r="H7" s="104"/>
      <c r="I7" s="104"/>
      <c r="J7" s="104"/>
      <c r="K7" s="104"/>
    </row>
    <row r="8" spans="1:11" s="107" customFormat="1" ht="14.25" customHeight="1">
      <c r="A8" s="117" t="s">
        <v>116</v>
      </c>
      <c r="B8" s="118"/>
      <c r="C8" s="118"/>
      <c r="D8" s="118"/>
      <c r="E8" s="118"/>
      <c r="F8" s="118"/>
      <c r="G8" s="118"/>
      <c r="H8" s="118"/>
      <c r="I8" s="118"/>
      <c r="J8" s="118"/>
      <c r="K8" s="118"/>
    </row>
    <row r="9" spans="1:11" s="103" customFormat="1" ht="9" customHeight="1">
      <c r="A9" s="66"/>
      <c r="B9" s="106"/>
      <c r="C9" s="106"/>
      <c r="D9" s="106"/>
      <c r="E9" s="104"/>
      <c r="F9" s="105"/>
      <c r="G9" s="104"/>
      <c r="H9" s="104"/>
      <c r="I9" s="104"/>
      <c r="J9" s="104"/>
      <c r="K9" s="104"/>
    </row>
    <row r="10" spans="1:11" s="103" customFormat="1" ht="12.75">
      <c r="A10" s="66"/>
      <c r="B10" s="104"/>
      <c r="C10" s="104"/>
      <c r="D10" s="104"/>
      <c r="E10" s="104"/>
      <c r="F10" s="105"/>
      <c r="G10" s="104"/>
      <c r="H10" s="104"/>
      <c r="I10" s="116" t="s">
        <v>4</v>
      </c>
      <c r="J10" s="116"/>
      <c r="K10" s="116"/>
    </row>
    <row r="11" spans="1:11" s="103" customFormat="1" ht="12.75">
      <c r="A11" s="66"/>
      <c r="B11" s="104"/>
      <c r="C11" s="104"/>
      <c r="D11" s="104"/>
      <c r="E11" s="104"/>
      <c r="F11" s="105"/>
      <c r="G11" s="104"/>
      <c r="H11" s="104"/>
      <c r="I11" s="104"/>
      <c r="J11" s="104"/>
      <c r="K11" s="104"/>
    </row>
    <row r="12" spans="1:11" s="97" customFormat="1" ht="12">
      <c r="A12" s="102"/>
      <c r="B12" s="82" t="s">
        <v>5</v>
      </c>
      <c r="C12" s="82" t="s">
        <v>65</v>
      </c>
      <c r="D12" s="82" t="s">
        <v>5</v>
      </c>
      <c r="E12" s="82"/>
      <c r="F12" s="101" t="s">
        <v>6</v>
      </c>
      <c r="G12" s="82" t="s">
        <v>7</v>
      </c>
      <c r="H12" s="82"/>
      <c r="I12" s="82" t="s">
        <v>8</v>
      </c>
      <c r="J12" s="54" t="s">
        <v>75</v>
      </c>
      <c r="K12" s="82" t="s">
        <v>74</v>
      </c>
    </row>
    <row r="13" spans="1:11" s="97" customFormat="1" ht="12">
      <c r="A13" s="100" t="s">
        <v>10</v>
      </c>
      <c r="B13" s="78" t="s">
        <v>11</v>
      </c>
      <c r="C13" s="78" t="s">
        <v>18</v>
      </c>
      <c r="D13" s="78" t="s">
        <v>12</v>
      </c>
      <c r="E13" s="78" t="s">
        <v>13</v>
      </c>
      <c r="F13" s="99" t="s">
        <v>14</v>
      </c>
      <c r="G13" s="78" t="s">
        <v>15</v>
      </c>
      <c r="H13" s="98"/>
      <c r="I13" s="78" t="s">
        <v>16</v>
      </c>
      <c r="J13" s="55" t="s">
        <v>76</v>
      </c>
      <c r="K13" s="78" t="s">
        <v>17</v>
      </c>
    </row>
    <row r="15" spans="1:11" ht="12.75">
      <c r="A15" s="66">
        <v>45017</v>
      </c>
      <c r="B15" s="64">
        <v>765876673.27</v>
      </c>
      <c r="C15" s="64">
        <v>3739188.13</v>
      </c>
      <c r="D15" s="64">
        <f aca="true" t="shared" si="0" ref="D15:D26">IF(ISBLANK(B15),"",B15-C15-E15)</f>
        <v>710817500.81</v>
      </c>
      <c r="E15" s="64">
        <v>51319984.33000001</v>
      </c>
      <c r="F15" s="65">
        <v>4503</v>
      </c>
      <c r="G15" s="64">
        <f>_xlfn.IFERROR((E15/F15/30)," ")</f>
        <v>379.89476889481097</v>
      </c>
      <c r="I15" s="64">
        <v>25916592.07</v>
      </c>
      <c r="J15" s="64">
        <v>5131998.410000001</v>
      </c>
      <c r="K15" s="64">
        <v>20271393.810000002</v>
      </c>
    </row>
    <row r="16" spans="1:12" ht="12.75">
      <c r="A16" s="66">
        <v>45047</v>
      </c>
      <c r="B16" s="64">
        <v>774132300.55</v>
      </c>
      <c r="C16" s="64">
        <v>3507154.3000000003</v>
      </c>
      <c r="D16" s="64">
        <f t="shared" si="0"/>
        <v>717609714.3</v>
      </c>
      <c r="E16" s="64">
        <v>53015431.949999996</v>
      </c>
      <c r="F16" s="65">
        <v>4499</v>
      </c>
      <c r="G16" s="64">
        <f>_xlfn.IFERROR((E16/F16/31)," ")</f>
        <v>380.12341057869486</v>
      </c>
      <c r="I16" s="64">
        <v>26772793.12</v>
      </c>
      <c r="J16" s="64">
        <v>5301543.200000001</v>
      </c>
      <c r="K16" s="64">
        <v>20941095.610000003</v>
      </c>
      <c r="L16" s="112"/>
    </row>
    <row r="17" spans="1:12" ht="12.75">
      <c r="A17" s="66">
        <v>45078</v>
      </c>
      <c r="B17" s="64">
        <v>739177829.7599998</v>
      </c>
      <c r="C17" s="64">
        <v>3552150.8199999994</v>
      </c>
      <c r="D17" s="64">
        <f>IF(ISBLANK(B17),"",B17-C17-E17)</f>
        <v>685782826.9799997</v>
      </c>
      <c r="E17" s="64">
        <v>49842851.959999986</v>
      </c>
      <c r="F17" s="65">
        <v>4447</v>
      </c>
      <c r="G17" s="64">
        <f aca="true" t="shared" si="1" ref="G17:G22">_xlfn.IFERROR((E17/F17/30)," ")</f>
        <v>373.60656592459327</v>
      </c>
      <c r="I17" s="64">
        <v>25170640.259999998</v>
      </c>
      <c r="J17" s="64">
        <v>4984285.210000001</v>
      </c>
      <c r="K17" s="64">
        <v>19687926.529999997</v>
      </c>
      <c r="L17" s="112"/>
    </row>
    <row r="18" spans="1:12" ht="12.75">
      <c r="A18" s="66">
        <v>45108</v>
      </c>
      <c r="B18" s="64">
        <v>760921227.1200001</v>
      </c>
      <c r="C18" s="64">
        <v>3413051.5999999996</v>
      </c>
      <c r="D18" s="64">
        <f>IF(ISBLANK(B18),"",B18-C18-E18)</f>
        <v>706393229.9900001</v>
      </c>
      <c r="E18" s="64">
        <v>51114945.52999999</v>
      </c>
      <c r="F18" s="65">
        <v>4431</v>
      </c>
      <c r="G18" s="64">
        <f>_xlfn.IFERROR((E18/F18/31)," ")</f>
        <v>372.1212391435705</v>
      </c>
      <c r="I18" s="64">
        <v>25813047.509999998</v>
      </c>
      <c r="J18" s="64">
        <v>5111494.59</v>
      </c>
      <c r="K18" s="64">
        <v>20190403.510000005</v>
      </c>
      <c r="L18" s="112"/>
    </row>
    <row r="19" spans="1:12" ht="12.75">
      <c r="A19" s="66">
        <v>45139</v>
      </c>
      <c r="B19" s="64">
        <v>707938845.58</v>
      </c>
      <c r="C19" s="64">
        <v>3218013.1599999997</v>
      </c>
      <c r="D19" s="64">
        <f>IF(ISBLANK(B19),"",B19-C19-E19)</f>
        <v>656437200.6500001</v>
      </c>
      <c r="E19" s="64">
        <v>48283631.77</v>
      </c>
      <c r="F19" s="65">
        <v>4424</v>
      </c>
      <c r="G19" s="64">
        <f>_xlfn.IFERROR((E19/F19/31)," ")</f>
        <v>352.06521444612963</v>
      </c>
      <c r="I19" s="64">
        <v>24383234.080000002</v>
      </c>
      <c r="J19" s="64">
        <v>4828363.17</v>
      </c>
      <c r="K19" s="64">
        <v>19072034.560000002</v>
      </c>
      <c r="L19" s="112"/>
    </row>
    <row r="20" spans="1:12" ht="12.75">
      <c r="A20" s="66">
        <v>45170</v>
      </c>
      <c r="B20" s="71">
        <v>670005806.0999999</v>
      </c>
      <c r="C20" s="64">
        <v>1429741.3299999998</v>
      </c>
      <c r="D20" s="64">
        <f t="shared" si="0"/>
        <v>621070321.1299999</v>
      </c>
      <c r="E20" s="64">
        <v>47505743.64000001</v>
      </c>
      <c r="F20" s="65">
        <v>4423</v>
      </c>
      <c r="G20" s="64">
        <f t="shared" si="1"/>
        <v>358.02052633958857</v>
      </c>
      <c r="I20" s="64">
        <v>23990400.54</v>
      </c>
      <c r="J20" s="64">
        <v>4750574.3900000015</v>
      </c>
      <c r="K20" s="64">
        <v>18764768.74</v>
      </c>
      <c r="L20" s="112"/>
    </row>
    <row r="21" spans="1:11" ht="12.75">
      <c r="A21" s="66">
        <v>45200</v>
      </c>
      <c r="B21" s="64">
        <v>703341598.8000001</v>
      </c>
      <c r="C21" s="64">
        <v>3035571.3799999994</v>
      </c>
      <c r="D21" s="64">
        <f t="shared" si="0"/>
        <v>653132385.6700001</v>
      </c>
      <c r="E21" s="64">
        <v>47173641.749999985</v>
      </c>
      <c r="F21" s="65">
        <v>4423</v>
      </c>
      <c r="G21" s="64">
        <f>_xlfn.IFERROR((E21/F21/31)," ")</f>
        <v>344.049373509441</v>
      </c>
      <c r="I21" s="64">
        <v>23822689.08</v>
      </c>
      <c r="J21" s="64">
        <v>4717364.179999999</v>
      </c>
      <c r="K21" s="64">
        <v>18633588.490000006</v>
      </c>
    </row>
    <row r="22" spans="1:11" ht="12.75">
      <c r="A22" s="66">
        <v>45231</v>
      </c>
      <c r="B22" s="64">
        <v>684859448.2599999</v>
      </c>
      <c r="C22" s="64">
        <v>2902288.2599999993</v>
      </c>
      <c r="D22" s="64">
        <f t="shared" si="0"/>
        <v>635679918.7299999</v>
      </c>
      <c r="E22" s="64">
        <v>46277241.26999998</v>
      </c>
      <c r="F22" s="65">
        <v>4423</v>
      </c>
      <c r="G22" s="64">
        <f t="shared" si="1"/>
        <v>348.7620865928102</v>
      </c>
      <c r="I22" s="64">
        <v>23370006.839999996</v>
      </c>
      <c r="J22" s="64">
        <v>4627724.1400000015</v>
      </c>
      <c r="K22" s="64">
        <v>18279510.270000003</v>
      </c>
    </row>
    <row r="23" spans="1:11" ht="12.75">
      <c r="A23" s="66">
        <v>45261</v>
      </c>
      <c r="B23" s="64">
        <v>738657168.96</v>
      </c>
      <c r="C23" s="64">
        <v>2436091.34</v>
      </c>
      <c r="D23" s="64">
        <f t="shared" si="0"/>
        <v>686261511.59</v>
      </c>
      <c r="E23" s="64">
        <v>49959566.03</v>
      </c>
      <c r="F23" s="65">
        <v>4423</v>
      </c>
      <c r="G23" s="64">
        <f>_xlfn.IFERROR((E23/F23/31)," ")</f>
        <v>364.36782821468427</v>
      </c>
      <c r="I23" s="64">
        <v>25229580.820000004</v>
      </c>
      <c r="J23" s="64">
        <v>4995956.630000001</v>
      </c>
      <c r="K23" s="64">
        <v>19734028.589999996</v>
      </c>
    </row>
    <row r="24" spans="1:11" ht="12.75">
      <c r="A24" s="66">
        <v>45292</v>
      </c>
      <c r="B24" s="64">
        <v>677945476.5500001</v>
      </c>
      <c r="C24" s="64">
        <v>2588683.52</v>
      </c>
      <c r="D24" s="64">
        <f t="shared" si="0"/>
        <v>630706421.761</v>
      </c>
      <c r="E24" s="64">
        <v>44650371.269</v>
      </c>
      <c r="F24" s="65">
        <v>4423</v>
      </c>
      <c r="G24" s="64">
        <f>_xlfn.IFERROR((E24/F24/31)," ")</f>
        <v>325.64651979753927</v>
      </c>
      <c r="I24" s="64">
        <v>22548437.48999999</v>
      </c>
      <c r="J24" s="64">
        <v>4465037.15</v>
      </c>
      <c r="K24" s="64">
        <v>17636896.650000002</v>
      </c>
    </row>
    <row r="25" spans="1:11" ht="12.75">
      <c r="A25" s="66">
        <v>45323</v>
      </c>
      <c r="B25" s="64">
        <v>722263027.35</v>
      </c>
      <c r="C25" s="64">
        <v>2549232.2600000002</v>
      </c>
      <c r="D25" s="64">
        <f>IF(ISBLANK(B25),"",B25-C25-E25)</f>
        <v>670010188.22</v>
      </c>
      <c r="E25" s="64">
        <v>49703606.86999998</v>
      </c>
      <c r="F25" s="65">
        <v>4424</v>
      </c>
      <c r="G25" s="64">
        <f>_xlfn.IFERROR((E25/F25/29)," ")</f>
        <v>387.4135348724823</v>
      </c>
      <c r="I25" s="64">
        <v>25100321.47</v>
      </c>
      <c r="J25" s="64">
        <v>4970360.700000001</v>
      </c>
      <c r="K25" s="64">
        <v>19632924.71</v>
      </c>
    </row>
    <row r="26" spans="1:11" ht="12.75">
      <c r="A26" s="66">
        <v>45352</v>
      </c>
      <c r="B26" s="64">
        <v>804403447.8599998</v>
      </c>
      <c r="C26" s="64">
        <v>2710106.740000001</v>
      </c>
      <c r="D26" s="64">
        <f t="shared" si="0"/>
        <v>746598157.6799997</v>
      </c>
      <c r="E26" s="64">
        <v>55095183.44000001</v>
      </c>
      <c r="F26" s="65">
        <v>4425</v>
      </c>
      <c r="G26" s="64">
        <f>_xlfn.IFERROR((E26/F26/31)," ")</f>
        <v>401.6415778385275</v>
      </c>
      <c r="I26" s="64">
        <v>27823067.620000005</v>
      </c>
      <c r="J26" s="64">
        <v>5509518.3500000015</v>
      </c>
      <c r="K26" s="64">
        <v>21762597.479999997</v>
      </c>
    </row>
    <row r="27" spans="1:11" ht="13.5" thickBot="1">
      <c r="A27" s="96" t="s">
        <v>19</v>
      </c>
      <c r="B27" s="93">
        <f>SUM(B15:B26)</f>
        <v>8749522850.16</v>
      </c>
      <c r="C27" s="93">
        <f>SUM(C15:C26)</f>
        <v>35081272.839999996</v>
      </c>
      <c r="D27" s="93">
        <f>SUM(D15:D26)</f>
        <v>8120499377.510999</v>
      </c>
      <c r="E27" s="93">
        <f>SUM(E15:E26)</f>
        <v>593942199.809</v>
      </c>
      <c r="F27" s="62">
        <f>AVERAGE(F15:F26)</f>
        <v>4439</v>
      </c>
      <c r="G27" s="61">
        <f>AVERAGE(G15:G26)</f>
        <v>365.64272051273934</v>
      </c>
      <c r="H27" s="94"/>
      <c r="I27" s="93">
        <f>SUM(I15:I26)</f>
        <v>299940810.9</v>
      </c>
      <c r="J27" s="93">
        <f>SUM(J15:J26)</f>
        <v>59394220.12000001</v>
      </c>
      <c r="K27" s="93">
        <f>SUM(K15:K26)</f>
        <v>234607168.95000002</v>
      </c>
    </row>
    <row r="28" spans="2:11" ht="10.5" customHeight="1" thickTop="1">
      <c r="B28" s="92"/>
      <c r="C28" s="92"/>
      <c r="D28" s="92"/>
      <c r="E28" s="92"/>
      <c r="I28" s="92"/>
      <c r="J28" s="92"/>
      <c r="K28" s="92"/>
    </row>
    <row r="29" spans="1:11" s="89" customFormat="1" ht="12.75">
      <c r="A29" s="91"/>
      <c r="B29" s="90"/>
      <c r="C29" s="90">
        <f>_xlfn.IFERROR(C27/B27,"")</f>
        <v>0.0040095069686409785</v>
      </c>
      <c r="D29" s="90">
        <f>_xlfn.IFERROR(D27/B27,"")</f>
        <v>0.9281076827363793</v>
      </c>
      <c r="E29" s="90">
        <f>_xlfn.IFERROR(E27/B27,"")</f>
        <v>0.06788281029497954</v>
      </c>
      <c r="I29" s="90">
        <f>_xlfn.IFERROR(I27/$E$27,"")</f>
        <v>0.5049999999940313</v>
      </c>
      <c r="J29" s="90">
        <f>_xlfn.IFERROR(J27/$E$27,"")</f>
        <v>0.10000000023419789</v>
      </c>
      <c r="K29" s="90">
        <f>_xlfn.IFERROR(K27/$E$27,"")</f>
        <v>0.3950000000428409</v>
      </c>
    </row>
    <row r="31" spans="1:11" s="88" customFormat="1" ht="12.75">
      <c r="A31" s="117" t="s">
        <v>20</v>
      </c>
      <c r="B31" s="118"/>
      <c r="C31" s="118"/>
      <c r="D31" s="118"/>
      <c r="E31" s="118"/>
      <c r="F31" s="118"/>
      <c r="G31" s="118"/>
      <c r="H31" s="118"/>
      <c r="I31" s="118"/>
      <c r="J31" s="118"/>
      <c r="K31" s="118"/>
    </row>
    <row r="32" ht="12.75">
      <c r="A32" s="68"/>
    </row>
    <row r="33" spans="1:11" s="45" customFormat="1" ht="12.75" customHeight="1">
      <c r="A33" s="41" t="s">
        <v>21</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D35" s="110"/>
      <c r="E35" s="44"/>
      <c r="F35" s="44"/>
      <c r="G35" s="44"/>
      <c r="H35" s="44"/>
      <c r="I35" s="44"/>
      <c r="J35" s="44"/>
      <c r="K35" s="44"/>
    </row>
    <row r="36" spans="1:11" ht="12.75">
      <c r="A36" s="87" t="s">
        <v>90</v>
      </c>
      <c r="B36" s="71"/>
      <c r="C36" s="71" t="s">
        <v>80</v>
      </c>
      <c r="D36" s="71"/>
      <c r="E36" s="71"/>
      <c r="F36" s="71"/>
      <c r="G36" s="71"/>
      <c r="H36" s="71"/>
      <c r="I36" s="71"/>
      <c r="J36" s="71"/>
      <c r="K36" s="71"/>
    </row>
    <row r="37" spans="1:11" s="45" customFormat="1" ht="6" customHeight="1">
      <c r="A37" s="41"/>
      <c r="B37" s="42"/>
      <c r="C37" s="43"/>
      <c r="D37" s="110"/>
      <c r="E37" s="111"/>
      <c r="F37" s="43"/>
      <c r="G37" s="43"/>
      <c r="H37" s="43"/>
      <c r="I37" s="43"/>
      <c r="J37" s="42"/>
      <c r="K37" s="42"/>
    </row>
    <row r="38" spans="1:11" s="45" customFormat="1" ht="12.75">
      <c r="A38" s="41" t="s">
        <v>22</v>
      </c>
      <c r="B38" s="42"/>
      <c r="C38" s="43" t="s">
        <v>94</v>
      </c>
      <c r="D38" s="110"/>
      <c r="E38" s="111"/>
      <c r="F38" s="43"/>
      <c r="G38" s="43"/>
      <c r="H38" s="43"/>
      <c r="I38" s="43"/>
      <c r="J38" s="42"/>
      <c r="K38" s="42"/>
    </row>
    <row r="39" spans="1:11" s="45" customFormat="1" ht="6" customHeight="1">
      <c r="A39" s="41"/>
      <c r="B39" s="42"/>
      <c r="C39" s="43"/>
      <c r="D39" s="110"/>
      <c r="E39" s="111"/>
      <c r="F39" s="43"/>
      <c r="G39" s="43"/>
      <c r="H39" s="43"/>
      <c r="I39" s="43"/>
      <c r="J39" s="42"/>
      <c r="K39" s="42"/>
    </row>
    <row r="40" spans="1:11" s="45" customFormat="1" ht="12.75">
      <c r="A40" s="41" t="s">
        <v>24</v>
      </c>
      <c r="B40" s="42"/>
      <c r="C40" s="42" t="s">
        <v>54</v>
      </c>
      <c r="D40" s="110"/>
      <c r="E40" s="111"/>
      <c r="F40" s="47"/>
      <c r="G40" s="42"/>
      <c r="H40" s="42"/>
      <c r="I40" s="42"/>
      <c r="J40" s="42"/>
      <c r="K40" s="42"/>
    </row>
    <row r="41" spans="1:11" s="45" customFormat="1" ht="12.75">
      <c r="A41" s="41"/>
      <c r="B41" s="42"/>
      <c r="C41" s="42" t="s">
        <v>55</v>
      </c>
      <c r="D41" s="110"/>
      <c r="E41" s="111"/>
      <c r="F41" s="47"/>
      <c r="G41" s="42"/>
      <c r="H41" s="42"/>
      <c r="I41" s="42"/>
      <c r="J41" s="42"/>
      <c r="K41" s="42"/>
    </row>
    <row r="42" spans="1:11" s="45" customFormat="1" ht="6" customHeight="1">
      <c r="A42" s="41"/>
      <c r="B42" s="42"/>
      <c r="C42" s="42"/>
      <c r="D42" s="110"/>
      <c r="E42" s="111"/>
      <c r="F42" s="47"/>
      <c r="G42" s="42"/>
      <c r="H42" s="42"/>
      <c r="I42" s="42"/>
      <c r="J42" s="42"/>
      <c r="K42" s="42"/>
    </row>
    <row r="43" spans="1:11" s="45" customFormat="1" ht="12.75">
      <c r="A43" s="41" t="s">
        <v>27</v>
      </c>
      <c r="B43" s="42"/>
      <c r="C43" s="42" t="s">
        <v>28</v>
      </c>
      <c r="D43" s="110"/>
      <c r="E43" s="111"/>
      <c r="F43" s="47"/>
      <c r="G43" s="42"/>
      <c r="H43" s="42"/>
      <c r="I43" s="42"/>
      <c r="J43" s="42"/>
      <c r="K43" s="42"/>
    </row>
    <row r="44" spans="1:11" s="45" customFormat="1" ht="6" customHeight="1">
      <c r="A44" s="41"/>
      <c r="B44" s="42"/>
      <c r="C44" s="42"/>
      <c r="D44" s="110"/>
      <c r="E44" s="111"/>
      <c r="F44" s="47"/>
      <c r="G44" s="42"/>
      <c r="H44" s="42"/>
      <c r="I44" s="42"/>
      <c r="J44" s="42"/>
      <c r="K44" s="42"/>
    </row>
    <row r="45" spans="1:11" s="45" customFormat="1" ht="12.75">
      <c r="A45" s="41" t="s">
        <v>67</v>
      </c>
      <c r="B45" s="42"/>
      <c r="C45" s="42" t="s">
        <v>68</v>
      </c>
      <c r="D45" s="111"/>
      <c r="E45" s="47"/>
      <c r="F45" s="42"/>
      <c r="G45" s="42"/>
      <c r="H45" s="42"/>
      <c r="I45" s="42"/>
      <c r="J45" s="42"/>
      <c r="K45" s="42"/>
    </row>
    <row r="46" spans="1:11" s="45" customFormat="1" ht="12.75">
      <c r="A46" s="41"/>
      <c r="B46" s="42"/>
      <c r="C46" s="42" t="s">
        <v>77</v>
      </c>
      <c r="D46" s="111"/>
      <c r="E46" s="47"/>
      <c r="F46" s="42"/>
      <c r="G46" s="42"/>
      <c r="H46" s="42"/>
      <c r="I46" s="42"/>
      <c r="J46" s="42"/>
      <c r="K46" s="42"/>
    </row>
    <row r="47" spans="1:11" s="45" customFormat="1" ht="12.75">
      <c r="A47" s="41"/>
      <c r="B47" s="42"/>
      <c r="C47" s="42" t="s">
        <v>78</v>
      </c>
      <c r="D47" s="111"/>
      <c r="E47" s="47"/>
      <c r="F47" s="42"/>
      <c r="G47" s="42"/>
      <c r="H47" s="42"/>
      <c r="I47" s="42"/>
      <c r="J47" s="42"/>
      <c r="K47" s="42"/>
    </row>
    <row r="48" spans="1:11" s="45" customFormat="1" ht="3" customHeight="1">
      <c r="A48" s="41"/>
      <c r="B48" s="42"/>
      <c r="C48" s="42"/>
      <c r="D48" s="111"/>
      <c r="E48" s="47"/>
      <c r="F48" s="42"/>
      <c r="G48" s="42"/>
      <c r="H48" s="42"/>
      <c r="I48" s="42"/>
      <c r="J48" s="42"/>
      <c r="K48" s="42"/>
    </row>
    <row r="49" spans="1:11" s="45" customFormat="1" ht="12.75" customHeight="1">
      <c r="A49" s="41"/>
      <c r="B49" s="42"/>
      <c r="C49" s="43" t="s">
        <v>108</v>
      </c>
      <c r="D49" s="43"/>
      <c r="E49" s="43"/>
      <c r="F49" s="43"/>
      <c r="G49" s="43"/>
      <c r="H49" s="43"/>
      <c r="I49" s="43"/>
      <c r="J49" s="43"/>
      <c r="K49" s="43"/>
    </row>
    <row r="50" spans="1:11" s="45" customFormat="1" ht="12.75">
      <c r="A50" s="41"/>
      <c r="B50" s="42"/>
      <c r="C50" s="43" t="s">
        <v>107</v>
      </c>
      <c r="D50" s="43"/>
      <c r="E50" s="43"/>
      <c r="F50" s="43"/>
      <c r="G50" s="43"/>
      <c r="H50" s="43"/>
      <c r="I50" s="43"/>
      <c r="J50" s="43"/>
      <c r="K50" s="43"/>
    </row>
    <row r="51" spans="1:11" s="45" customFormat="1" ht="12.75">
      <c r="A51" s="41"/>
      <c r="B51" s="42"/>
      <c r="C51" s="43" t="s">
        <v>109</v>
      </c>
      <c r="D51" s="43"/>
      <c r="E51" s="43"/>
      <c r="F51" s="43"/>
      <c r="G51" s="43"/>
      <c r="H51" s="43"/>
      <c r="I51" s="43"/>
      <c r="J51" s="43"/>
      <c r="K51" s="43"/>
    </row>
    <row r="52" spans="1:11" s="45" customFormat="1" ht="6" customHeight="1">
      <c r="A52" s="41"/>
      <c r="B52" s="42"/>
      <c r="C52" s="42"/>
      <c r="D52" s="110"/>
      <c r="E52" s="111"/>
      <c r="F52" s="47"/>
      <c r="G52" s="42"/>
      <c r="H52" s="42"/>
      <c r="I52" s="42"/>
      <c r="J52" s="42"/>
      <c r="K52" s="42"/>
    </row>
    <row r="53" spans="1:11" s="45" customFormat="1" ht="12.75">
      <c r="A53" s="41" t="s">
        <v>79</v>
      </c>
      <c r="B53" s="42"/>
      <c r="C53" s="42" t="s">
        <v>72</v>
      </c>
      <c r="D53" s="111"/>
      <c r="E53" s="47"/>
      <c r="F53" s="42"/>
      <c r="G53" s="42"/>
      <c r="H53" s="42"/>
      <c r="I53" s="42"/>
      <c r="J53" s="42"/>
      <c r="K53" s="42"/>
    </row>
    <row r="54" spans="1:11" s="45" customFormat="1" ht="12.75">
      <c r="A54" s="48"/>
      <c r="B54" s="42"/>
      <c r="C54" s="42" t="s">
        <v>73</v>
      </c>
      <c r="D54" s="111"/>
      <c r="E54" s="47"/>
      <c r="F54" s="42"/>
      <c r="G54" s="42"/>
      <c r="H54" s="42"/>
      <c r="I54" s="42"/>
      <c r="J54" s="42"/>
      <c r="K54" s="42"/>
    </row>
    <row r="55" spans="1:11" ht="12.75">
      <c r="A55" s="86"/>
      <c r="B55" s="84"/>
      <c r="C55" s="84"/>
      <c r="D55" s="71"/>
      <c r="E55" s="84"/>
      <c r="F55" s="85"/>
      <c r="G55" s="84"/>
      <c r="H55" s="84"/>
      <c r="I55" s="84"/>
      <c r="J55" s="84"/>
      <c r="K55" s="84"/>
    </row>
    <row r="56" spans="1:11" ht="12.75">
      <c r="A56" s="117" t="s">
        <v>30</v>
      </c>
      <c r="B56" s="118"/>
      <c r="C56" s="118"/>
      <c r="D56" s="118"/>
      <c r="E56" s="118"/>
      <c r="F56" s="118"/>
      <c r="G56" s="118"/>
      <c r="H56" s="118"/>
      <c r="I56" s="118"/>
      <c r="J56" s="118"/>
      <c r="K56" s="118"/>
    </row>
    <row r="57" ht="12.75">
      <c r="A57" s="68"/>
    </row>
    <row r="58" spans="1:11" ht="13.5">
      <c r="A58" s="83"/>
      <c r="D58" s="82" t="s">
        <v>8</v>
      </c>
      <c r="E58" s="54" t="s">
        <v>75</v>
      </c>
      <c r="F58" s="116" t="s">
        <v>81</v>
      </c>
      <c r="G58" s="116"/>
      <c r="H58" s="116"/>
      <c r="I58" s="116"/>
      <c r="J58" s="63"/>
      <c r="K58" s="63"/>
    </row>
    <row r="59" spans="1:11" ht="12.75">
      <c r="A59" s="81"/>
      <c r="D59" s="78" t="s">
        <v>16</v>
      </c>
      <c r="E59" s="55" t="s">
        <v>76</v>
      </c>
      <c r="F59" s="78" t="s">
        <v>82</v>
      </c>
      <c r="G59" s="80" t="s">
        <v>83</v>
      </c>
      <c r="H59" s="79"/>
      <c r="I59" s="78" t="s">
        <v>84</v>
      </c>
      <c r="J59" s="63"/>
      <c r="K59" s="63"/>
    </row>
    <row r="60" spans="2:11" ht="12.75">
      <c r="B60" s="109"/>
      <c r="C60" s="109"/>
      <c r="D60" s="74">
        <v>0.505</v>
      </c>
      <c r="E60" s="74">
        <v>0.1</v>
      </c>
      <c r="F60" s="74">
        <v>0.295</v>
      </c>
      <c r="G60" s="76">
        <v>0.0875</v>
      </c>
      <c r="H60" s="75"/>
      <c r="I60" s="74">
        <v>0.0125</v>
      </c>
      <c r="J60" s="63"/>
      <c r="K60" s="63"/>
    </row>
    <row r="61" spans="2:11" ht="12.75">
      <c r="B61" s="73"/>
      <c r="C61" s="73"/>
      <c r="D61" s="73"/>
      <c r="E61" s="71"/>
      <c r="F61" s="72"/>
      <c r="G61" s="70"/>
      <c r="H61" s="71"/>
      <c r="I61" s="70"/>
      <c r="J61" s="70"/>
      <c r="K61" s="70"/>
    </row>
    <row r="62" spans="1:11" ht="13.5" customHeight="1">
      <c r="A62" s="119" t="s">
        <v>36</v>
      </c>
      <c r="B62" s="120"/>
      <c r="C62" s="120"/>
      <c r="D62" s="120"/>
      <c r="E62" s="120"/>
      <c r="F62" s="120"/>
      <c r="G62" s="120"/>
      <c r="H62" s="120"/>
      <c r="I62" s="120"/>
      <c r="J62" s="120"/>
      <c r="K62" s="120"/>
    </row>
    <row r="63" spans="1:6" ht="12.75">
      <c r="A63" s="68"/>
      <c r="E63" s="63"/>
      <c r="F63" s="64"/>
    </row>
    <row r="64" spans="1:11" ht="54" customHeight="1">
      <c r="A64" s="121" t="s">
        <v>117</v>
      </c>
      <c r="B64" s="122"/>
      <c r="C64" s="122"/>
      <c r="D64" s="122"/>
      <c r="E64" s="122"/>
      <c r="F64" s="122"/>
      <c r="G64" s="122"/>
      <c r="H64" s="122"/>
      <c r="I64" s="122"/>
      <c r="J64" s="122"/>
      <c r="K64" s="122"/>
    </row>
    <row r="65" spans="1:6" ht="12.75">
      <c r="A65" s="64"/>
      <c r="E65" s="63"/>
      <c r="F65" s="64"/>
    </row>
    <row r="66" spans="2:5" ht="12.75">
      <c r="B66" s="68" t="s">
        <v>37</v>
      </c>
      <c r="C66" s="68"/>
      <c r="D66" s="68"/>
      <c r="E66" s="64">
        <v>19600000</v>
      </c>
    </row>
    <row r="67" spans="2:4" ht="12.75">
      <c r="B67" s="68"/>
      <c r="C67" s="68"/>
      <c r="D67" s="68"/>
    </row>
    <row r="68" spans="1:6" s="114" customFormat="1" ht="16.5" customHeight="1">
      <c r="A68" s="113" t="s">
        <v>91</v>
      </c>
      <c r="F68" s="115"/>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ignoredErrors>
    <ignoredError sqref="G16 G20:G21 G22" formula="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6">
      <selection activeCell="D28" sqref="D28"/>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96</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41730</v>
      </c>
      <c r="B15" s="16">
        <v>706250784.93</v>
      </c>
      <c r="C15" s="16">
        <f>5727520.12-972.85</f>
        <v>5726547.2700000005</v>
      </c>
      <c r="D15" s="16">
        <f aca="true" t="shared" si="0" ref="D15:D26">+B15-C15-E15</f>
        <v>654079464.3199999</v>
      </c>
      <c r="E15" s="16">
        <v>46444773.34</v>
      </c>
      <c r="F15" s="17">
        <f>162090/30</f>
        <v>5403</v>
      </c>
      <c r="G15" s="16">
        <f>E15/F15/30</f>
        <v>286.5369445369857</v>
      </c>
      <c r="I15" s="16">
        <v>21829043.48</v>
      </c>
      <c r="J15" s="16">
        <v>14397879.71</v>
      </c>
      <c r="K15" s="16">
        <v>3715581.87</v>
      </c>
      <c r="L15" s="16">
        <v>4644477.37</v>
      </c>
      <c r="M15" s="16">
        <v>1857790.94</v>
      </c>
    </row>
    <row r="16" spans="1:13" ht="12.75">
      <c r="A16" s="3">
        <v>41760</v>
      </c>
      <c r="B16" s="26">
        <v>740784394.37</v>
      </c>
      <c r="C16" s="16">
        <f>5622439.78-149506.8</f>
        <v>5472932.98</v>
      </c>
      <c r="D16" s="16">
        <f t="shared" si="0"/>
        <v>685639689.26</v>
      </c>
      <c r="E16" s="16">
        <v>49671772.13</v>
      </c>
      <c r="F16" s="17">
        <f>167371/31</f>
        <v>5399.064516129032</v>
      </c>
      <c r="G16" s="16">
        <f>E16/F16/31</f>
        <v>296.7764554791451</v>
      </c>
      <c r="I16" s="16">
        <v>24690394.72</v>
      </c>
      <c r="J16" s="16">
        <v>15398249.33</v>
      </c>
      <c r="K16" s="16">
        <v>3973741.77</v>
      </c>
      <c r="L16" s="16">
        <v>4967177.23</v>
      </c>
      <c r="M16" s="16">
        <v>642209.06</v>
      </c>
    </row>
    <row r="17" spans="1:13" ht="12.75">
      <c r="A17" s="3">
        <v>41791</v>
      </c>
      <c r="B17" s="16">
        <v>644081869.53</v>
      </c>
      <c r="C17" s="16">
        <f>4329281.52-31809.1</f>
        <v>4297472.42</v>
      </c>
      <c r="D17" s="16">
        <f t="shared" si="0"/>
        <v>596254398.23</v>
      </c>
      <c r="E17" s="16">
        <v>43529998.88</v>
      </c>
      <c r="F17" s="17">
        <f>160414/30</f>
        <v>5347.133333333333</v>
      </c>
      <c r="G17" s="16">
        <f>E17/F17/30</f>
        <v>271.3603480992931</v>
      </c>
      <c r="I17" s="16">
        <v>22200299.44</v>
      </c>
      <c r="J17" s="16">
        <v>13494299.67</v>
      </c>
      <c r="K17" s="16">
        <v>3482399.92</v>
      </c>
      <c r="L17" s="16">
        <v>4352999.9</v>
      </c>
      <c r="M17" s="16">
        <v>0</v>
      </c>
    </row>
    <row r="18" spans="1:13" ht="12.75">
      <c r="A18" s="3">
        <v>41821</v>
      </c>
      <c r="B18" s="16">
        <v>661383004.71</v>
      </c>
      <c r="C18" s="16">
        <f>3967922.22-13876.1</f>
        <v>3954046.12</v>
      </c>
      <c r="D18" s="16">
        <f t="shared" si="0"/>
        <v>612135274.4300001</v>
      </c>
      <c r="E18" s="16">
        <v>45293684.16</v>
      </c>
      <c r="F18" s="17">
        <f>163740/31</f>
        <v>5281.935483870968</v>
      </c>
      <c r="G18" s="16">
        <f>E18/F18/31</f>
        <v>276.61954415536826</v>
      </c>
      <c r="I18" s="16">
        <v>23099778.91</v>
      </c>
      <c r="J18" s="16">
        <v>14041042.08</v>
      </c>
      <c r="K18" s="16">
        <v>3623494.74</v>
      </c>
      <c r="L18" s="16">
        <v>4529368.46</v>
      </c>
      <c r="M18" s="16">
        <v>0</v>
      </c>
    </row>
    <row r="19" spans="1:13" ht="12.75">
      <c r="A19" s="3">
        <v>41852</v>
      </c>
      <c r="B19" s="16">
        <v>714112183.88</v>
      </c>
      <c r="C19" s="16">
        <f>5331959.55-14870</f>
        <v>5317089.55</v>
      </c>
      <c r="D19" s="16">
        <f t="shared" si="0"/>
        <v>661136444</v>
      </c>
      <c r="E19" s="16">
        <v>47658650.33</v>
      </c>
      <c r="F19" s="17">
        <f>164207/31</f>
        <v>5297</v>
      </c>
      <c r="G19" s="16">
        <f>E19/F19/31</f>
        <v>290.23519295766926</v>
      </c>
      <c r="I19" s="16">
        <v>24305911.68</v>
      </c>
      <c r="J19" s="16">
        <v>14774181.59</v>
      </c>
      <c r="K19" s="16">
        <v>3812691.99</v>
      </c>
      <c r="L19" s="16">
        <v>4765865.05</v>
      </c>
      <c r="M19" s="16">
        <v>0</v>
      </c>
    </row>
    <row r="20" spans="1:13" ht="12.75">
      <c r="A20" s="3">
        <v>41883</v>
      </c>
      <c r="B20" s="26">
        <v>655236357.96</v>
      </c>
      <c r="C20" s="16">
        <v>5102406.54</v>
      </c>
      <c r="D20" s="16">
        <f t="shared" si="0"/>
        <v>607240521.2</v>
      </c>
      <c r="E20" s="16">
        <v>42893430.22</v>
      </c>
      <c r="F20" s="17">
        <f>158910/30</f>
        <v>5297</v>
      </c>
      <c r="G20" s="16">
        <f>E20/F20/30</f>
        <v>269.9227878673463</v>
      </c>
      <c r="I20" s="16">
        <v>21875649.42</v>
      </c>
      <c r="J20" s="16">
        <v>13296963.38</v>
      </c>
      <c r="K20" s="16">
        <v>3431474.41</v>
      </c>
      <c r="L20" s="16">
        <v>4289343.03</v>
      </c>
      <c r="M20" s="16">
        <v>0</v>
      </c>
    </row>
    <row r="21" spans="1:13" ht="12.75">
      <c r="A21" s="3">
        <v>41913</v>
      </c>
      <c r="B21" s="16">
        <v>680327816.82</v>
      </c>
      <c r="C21" s="16">
        <f>5479945.57-46053.9</f>
        <v>5433891.67</v>
      </c>
      <c r="D21" s="16">
        <f t="shared" si="0"/>
        <v>630556298.1400001</v>
      </c>
      <c r="E21" s="16">
        <v>44337627.01</v>
      </c>
      <c r="F21" s="17">
        <f>164207/31</f>
        <v>5297</v>
      </c>
      <c r="G21" s="16">
        <f>E21/F21/31</f>
        <v>270.0105781726723</v>
      </c>
      <c r="I21" s="16">
        <v>22612189.78</v>
      </c>
      <c r="J21" s="16">
        <v>13744664.36</v>
      </c>
      <c r="K21" s="16">
        <v>3547010.17</v>
      </c>
      <c r="L21" s="16">
        <v>4433762.71</v>
      </c>
      <c r="M21" s="16">
        <v>0</v>
      </c>
    </row>
    <row r="22" spans="1:13" ht="12.75">
      <c r="A22" s="3">
        <v>41944</v>
      </c>
      <c r="B22" s="16">
        <v>657344831.41</v>
      </c>
      <c r="C22" s="16">
        <v>4749322.89</v>
      </c>
      <c r="D22" s="16">
        <f t="shared" si="0"/>
        <v>610012250.21</v>
      </c>
      <c r="E22" s="16">
        <v>42583258.31</v>
      </c>
      <c r="F22" s="17">
        <f>158910/30</f>
        <v>5297</v>
      </c>
      <c r="G22" s="16">
        <f>E22/F22/30</f>
        <v>267.97091630482663</v>
      </c>
      <c r="I22" s="16">
        <v>21717461.75</v>
      </c>
      <c r="J22" s="16">
        <v>13200810.09</v>
      </c>
      <c r="K22" s="16">
        <v>3406660.68</v>
      </c>
      <c r="L22" s="16">
        <v>4258325.84</v>
      </c>
      <c r="M22" s="16">
        <v>0</v>
      </c>
    </row>
    <row r="23" spans="1:13" ht="12.75">
      <c r="A23" s="3">
        <v>41974</v>
      </c>
      <c r="B23" s="16">
        <v>683697314.51</v>
      </c>
      <c r="C23" s="16">
        <f>5340998.32-8940</f>
        <v>5332058.32</v>
      </c>
      <c r="D23" s="16">
        <f t="shared" si="0"/>
        <v>633702849.78</v>
      </c>
      <c r="E23" s="16">
        <v>44662406.41</v>
      </c>
      <c r="F23" s="17">
        <f>164207/31</f>
        <v>5297</v>
      </c>
      <c r="G23" s="16">
        <f>E23/F23/31</f>
        <v>271.98844391530196</v>
      </c>
      <c r="I23" s="16">
        <v>22777827.27</v>
      </c>
      <c r="J23" s="16">
        <v>13845345.98</v>
      </c>
      <c r="K23" s="16">
        <v>3572992.5</v>
      </c>
      <c r="L23" s="16">
        <v>4466240.64</v>
      </c>
      <c r="M23" s="16">
        <v>0</v>
      </c>
    </row>
    <row r="24" spans="1:13" ht="12.75">
      <c r="A24" s="3">
        <v>42005</v>
      </c>
      <c r="B24" s="16">
        <v>648061290.75</v>
      </c>
      <c r="C24" s="16">
        <v>4925983.91</v>
      </c>
      <c r="D24" s="16">
        <f t="shared" si="0"/>
        <v>601088454.6500001</v>
      </c>
      <c r="E24" s="16">
        <v>42046852.19</v>
      </c>
      <c r="F24" s="17">
        <f>164207/31</f>
        <v>5297</v>
      </c>
      <c r="G24" s="16">
        <f>E24/F24/31</f>
        <v>256.0600473183238</v>
      </c>
      <c r="I24" s="16">
        <v>21443894.63</v>
      </c>
      <c r="J24" s="16">
        <v>13034524.2</v>
      </c>
      <c r="K24" s="16">
        <v>3363748.16</v>
      </c>
      <c r="L24" s="16">
        <v>4204685.23</v>
      </c>
      <c r="M24" s="16">
        <v>0</v>
      </c>
    </row>
    <row r="25" spans="1:13" ht="12.75">
      <c r="A25" s="3">
        <v>42036</v>
      </c>
      <c r="B25" s="16">
        <v>631610952.67</v>
      </c>
      <c r="C25" s="16">
        <f>4675265.28-13896</f>
        <v>4661369.28</v>
      </c>
      <c r="D25" s="16">
        <f t="shared" si="0"/>
        <v>584943494.09</v>
      </c>
      <c r="E25" s="16">
        <v>42006089.3</v>
      </c>
      <c r="F25" s="17">
        <f>148316/28</f>
        <v>5297</v>
      </c>
      <c r="G25" s="16">
        <f>E25/F25/28</f>
        <v>283.22021427222955</v>
      </c>
      <c r="I25" s="16">
        <v>21423105.55</v>
      </c>
      <c r="J25" s="16">
        <v>13021887.7</v>
      </c>
      <c r="K25" s="16">
        <v>3360487.16</v>
      </c>
      <c r="L25" s="16">
        <v>4200608.95</v>
      </c>
      <c r="M25" s="16">
        <v>0</v>
      </c>
    </row>
    <row r="26" spans="1:13" ht="12.75">
      <c r="A26" s="3">
        <v>42064</v>
      </c>
      <c r="B26" s="16">
        <v>758241890.54</v>
      </c>
      <c r="C26" s="16">
        <f>5985643.53-5564</f>
        <v>5980079.53</v>
      </c>
      <c r="D26" s="16">
        <f t="shared" si="0"/>
        <v>702976583.6899999</v>
      </c>
      <c r="E26" s="16">
        <v>49285227.32</v>
      </c>
      <c r="F26" s="17">
        <f>164207/31</f>
        <v>5297</v>
      </c>
      <c r="G26" s="16">
        <f>E26/F26/31</f>
        <v>300.1408424732198</v>
      </c>
      <c r="I26" s="16">
        <v>25135465.93</v>
      </c>
      <c r="J26" s="16">
        <v>15278420.49</v>
      </c>
      <c r="K26" s="16">
        <v>3942818.19</v>
      </c>
      <c r="L26" s="16">
        <v>4928522.75</v>
      </c>
      <c r="M26" s="16">
        <v>0</v>
      </c>
    </row>
    <row r="27" spans="1:13" ht="13.5" thickBot="1">
      <c r="A27" s="3" t="s">
        <v>19</v>
      </c>
      <c r="B27" s="18">
        <f>SUM(B15:B26)</f>
        <v>8181132692.08</v>
      </c>
      <c r="C27" s="18">
        <f>SUM(C15:C26)</f>
        <v>60953200.480000004</v>
      </c>
      <c r="D27" s="18">
        <f>SUM(D15:D26)</f>
        <v>7579765721.999999</v>
      </c>
      <c r="E27" s="18">
        <f>SUM(E15:E26)</f>
        <v>540413769.6</v>
      </c>
      <c r="I27" s="18">
        <f>SUM(I15:I26)</f>
        <v>273111022.56</v>
      </c>
      <c r="J27" s="18">
        <f>SUM(J15:J26)</f>
        <v>167528268.57999998</v>
      </c>
      <c r="K27" s="18">
        <f>SUM(K15:K26)</f>
        <v>43233101.55999999</v>
      </c>
      <c r="L27" s="18">
        <f>SUM(L15:L26)</f>
        <v>54041377.16000001</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0.00745045982923705</v>
      </c>
      <c r="D29" s="21">
        <f>D27/B27</f>
        <v>0.926493434012851</v>
      </c>
      <c r="E29" s="21">
        <f>E27/B27</f>
        <v>0.0660561061579119</v>
      </c>
      <c r="I29" s="21">
        <f>I27/$E$27</f>
        <v>0.5053739151801212</v>
      </c>
      <c r="J29" s="21">
        <f>J27/$E$27</f>
        <v>0.3100000000074017</v>
      </c>
      <c r="K29" s="21">
        <f>K27/$E$27</f>
        <v>0.0799999999851965</v>
      </c>
      <c r="L29" s="21">
        <f>L27/$E$27</f>
        <v>0.10000000037008681</v>
      </c>
      <c r="M29" s="21">
        <f>M27/$E$27</f>
        <v>0.004626084938306502</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95</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1:M1"/>
    <mergeCell ref="A2:M2"/>
    <mergeCell ref="A3:M3"/>
    <mergeCell ref="A4:M4"/>
    <mergeCell ref="A5:M5"/>
    <mergeCell ref="A8:M8"/>
    <mergeCell ref="A66:M66"/>
    <mergeCell ref="A68:M68"/>
    <mergeCell ref="I10:M10"/>
    <mergeCell ref="A31:M31"/>
    <mergeCell ref="A59:M59"/>
    <mergeCell ref="F61:I61"/>
    <mergeCell ref="B63:D63"/>
    <mergeCell ref="B64:D64"/>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6">
      <selection activeCell="D28" sqref="D28"/>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92</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41365</v>
      </c>
      <c r="B15" s="16">
        <v>685151404.39</v>
      </c>
      <c r="C15" s="16">
        <v>4748835.43</v>
      </c>
      <c r="D15" s="16">
        <f aca="true" t="shared" si="0" ref="D15:D26">+B15-C15-E15</f>
        <v>630327834.4000001</v>
      </c>
      <c r="E15" s="16">
        <v>50074734.56</v>
      </c>
      <c r="F15" s="17">
        <f>159240/30</f>
        <v>5308</v>
      </c>
      <c r="G15" s="16">
        <f>E15/F15/30</f>
        <v>314.4607797035921</v>
      </c>
      <c r="I15" s="16">
        <v>23535125.25</v>
      </c>
      <c r="J15" s="16">
        <v>15523167.69</v>
      </c>
      <c r="K15" s="16">
        <v>4005978.78</v>
      </c>
      <c r="L15" s="16">
        <v>5007473.49</v>
      </c>
      <c r="M15" s="16">
        <v>2002989.37</v>
      </c>
    </row>
    <row r="16" spans="1:13" ht="12.75">
      <c r="A16" s="3">
        <v>41395</v>
      </c>
      <c r="B16" s="26">
        <v>697635472.87</v>
      </c>
      <c r="C16" s="16">
        <f>4472281.89-133675.39</f>
        <v>4338606.5</v>
      </c>
      <c r="D16" s="16">
        <f t="shared" si="0"/>
        <v>642039059.53</v>
      </c>
      <c r="E16" s="16">
        <v>51257806.84</v>
      </c>
      <c r="F16" s="17">
        <f>164764/31</f>
        <v>5314.967741935484</v>
      </c>
      <c r="G16" s="16">
        <f>E16/F16/31</f>
        <v>311.0983396858537</v>
      </c>
      <c r="I16" s="16">
        <v>25644470.86</v>
      </c>
      <c r="J16" s="16">
        <v>15889920.11</v>
      </c>
      <c r="K16" s="16">
        <v>4100624.56</v>
      </c>
      <c r="L16" s="16">
        <v>5125780.73</v>
      </c>
      <c r="M16" s="16">
        <v>497010.63</v>
      </c>
    </row>
    <row r="17" spans="1:13" ht="12.75">
      <c r="A17" s="3">
        <v>41426</v>
      </c>
      <c r="B17" s="16">
        <v>666543334.25</v>
      </c>
      <c r="C17" s="16">
        <f>4992318.81-4476.41</f>
        <v>4987842.399999999</v>
      </c>
      <c r="D17" s="16">
        <f t="shared" si="0"/>
        <v>613951540.7</v>
      </c>
      <c r="E17" s="16">
        <v>47603951.15</v>
      </c>
      <c r="F17" s="17">
        <f>160466/30</f>
        <v>5348.866666666667</v>
      </c>
      <c r="G17" s="16">
        <f>E17/F17/30</f>
        <v>296.66067048471325</v>
      </c>
      <c r="I17" s="16">
        <v>24278015.1</v>
      </c>
      <c r="J17" s="16">
        <v>14757224.85</v>
      </c>
      <c r="K17" s="16">
        <v>3808316.1</v>
      </c>
      <c r="L17" s="16">
        <v>4760395.15</v>
      </c>
      <c r="M17" s="16">
        <v>0</v>
      </c>
    </row>
    <row r="18" spans="1:13" ht="12.75">
      <c r="A18" s="3">
        <v>41456</v>
      </c>
      <c r="B18" s="16">
        <v>657098997.08</v>
      </c>
      <c r="C18" s="16">
        <v>4754212.14</v>
      </c>
      <c r="D18" s="16">
        <f t="shared" si="0"/>
        <v>605098321.99</v>
      </c>
      <c r="E18" s="16">
        <v>47246462.95</v>
      </c>
      <c r="F18" s="17">
        <f>166532/31</f>
        <v>5372</v>
      </c>
      <c r="G18" s="16">
        <f>E18/F18/31</f>
        <v>283.7080137751303</v>
      </c>
      <c r="I18" s="16">
        <v>24095696.09</v>
      </c>
      <c r="J18" s="16">
        <v>14646403.5</v>
      </c>
      <c r="K18" s="16">
        <v>3779717.03</v>
      </c>
      <c r="L18" s="16">
        <v>4724646.32</v>
      </c>
      <c r="M18" s="16">
        <v>0</v>
      </c>
    </row>
    <row r="19" spans="1:13" ht="12.75">
      <c r="A19" s="3">
        <v>41487</v>
      </c>
      <c r="B19" s="16">
        <v>689370528.08</v>
      </c>
      <c r="C19" s="16">
        <f>5662540.71-313824.95</f>
        <v>5348715.76</v>
      </c>
      <c r="D19" s="16">
        <f t="shared" si="0"/>
        <v>635211574.0300001</v>
      </c>
      <c r="E19" s="16">
        <v>48810238.29</v>
      </c>
      <c r="F19" s="17">
        <f>165900/31</f>
        <v>5351.612903225807</v>
      </c>
      <c r="G19" s="16">
        <f>E19/F19/31</f>
        <v>294.21481790235083</v>
      </c>
      <c r="I19" s="16">
        <v>24893221.51</v>
      </c>
      <c r="J19" s="16">
        <v>15131173.88</v>
      </c>
      <c r="K19" s="16">
        <v>3904819.06</v>
      </c>
      <c r="L19" s="16">
        <v>4881023.81</v>
      </c>
      <c r="M19" s="16">
        <v>0</v>
      </c>
    </row>
    <row r="20" spans="1:13" ht="12.75">
      <c r="A20" s="3">
        <v>41518</v>
      </c>
      <c r="B20" s="26">
        <v>638992308.6</v>
      </c>
      <c r="C20" s="16">
        <f>5544717.94-28789.1</f>
        <v>5515928.840000001</v>
      </c>
      <c r="D20" s="16">
        <f t="shared" si="0"/>
        <v>589026638.86</v>
      </c>
      <c r="E20" s="16">
        <v>44449740.9</v>
      </c>
      <c r="F20" s="17">
        <f>161880/30</f>
        <v>5396</v>
      </c>
      <c r="G20" s="16">
        <f>E20/F20/30</f>
        <v>274.5845126019274</v>
      </c>
      <c r="I20" s="16">
        <v>22669367.86</v>
      </c>
      <c r="J20" s="16">
        <v>13779419.67</v>
      </c>
      <c r="K20" s="16">
        <v>3555979.29</v>
      </c>
      <c r="L20" s="16">
        <v>4444974.11</v>
      </c>
      <c r="M20" s="16">
        <v>0</v>
      </c>
    </row>
    <row r="21" spans="1:13" ht="12.75">
      <c r="A21" s="3">
        <v>41548</v>
      </c>
      <c r="B21" s="16">
        <v>621144038.37</v>
      </c>
      <c r="C21" s="16">
        <f>4752746.5-793610.11</f>
        <v>3959136.39</v>
      </c>
      <c r="D21" s="16">
        <f t="shared" si="0"/>
        <v>572609988.34</v>
      </c>
      <c r="E21" s="16">
        <v>44574913.64</v>
      </c>
      <c r="F21" s="17">
        <f>167462/31</f>
        <v>5402</v>
      </c>
      <c r="G21" s="16">
        <f>E21/F21/31</f>
        <v>266.179274342836</v>
      </c>
      <c r="I21" s="16">
        <v>22733205.98</v>
      </c>
      <c r="J21" s="16">
        <v>13818223.22</v>
      </c>
      <c r="K21" s="16">
        <v>3565993.09</v>
      </c>
      <c r="L21" s="16">
        <v>4457491.36</v>
      </c>
      <c r="M21" s="16">
        <v>0</v>
      </c>
    </row>
    <row r="22" spans="1:13" ht="12.75">
      <c r="A22" s="3">
        <v>41579</v>
      </c>
      <c r="B22" s="16">
        <v>598457982.8</v>
      </c>
      <c r="C22" s="16">
        <f>3766415.94-5563</f>
        <v>3760852.94</v>
      </c>
      <c r="D22" s="16">
        <f t="shared" si="0"/>
        <v>553118196.6199999</v>
      </c>
      <c r="E22" s="16">
        <v>41578933.24</v>
      </c>
      <c r="F22" s="17">
        <f>162060/30</f>
        <v>5402</v>
      </c>
      <c r="G22" s="16">
        <f>E22/F22/30</f>
        <v>256.5650576329755</v>
      </c>
      <c r="I22" s="16">
        <v>21205255.97</v>
      </c>
      <c r="J22" s="16">
        <v>12889469.3</v>
      </c>
      <c r="K22" s="16">
        <v>3326314.62</v>
      </c>
      <c r="L22" s="16">
        <v>4157893.32</v>
      </c>
      <c r="M22" s="16">
        <v>0</v>
      </c>
    </row>
    <row r="23" spans="1:13" ht="12.75">
      <c r="A23" s="3">
        <v>41609</v>
      </c>
      <c r="B23" s="16">
        <v>593713319.09</v>
      </c>
      <c r="C23" s="16">
        <v>3166366.76</v>
      </c>
      <c r="D23" s="16">
        <f t="shared" si="0"/>
        <v>549336615.72</v>
      </c>
      <c r="E23" s="16">
        <v>41210336.61</v>
      </c>
      <c r="F23" s="17">
        <f>167606/31</f>
        <v>5406.645161290323</v>
      </c>
      <c r="G23" s="16">
        <f>E23/F23/31</f>
        <v>245.87626105270695</v>
      </c>
      <c r="I23" s="16">
        <v>21017271.66</v>
      </c>
      <c r="J23" s="16">
        <v>12775204.36</v>
      </c>
      <c r="K23" s="16">
        <v>3296826.92</v>
      </c>
      <c r="L23" s="16">
        <v>4121033.67</v>
      </c>
      <c r="M23" s="16">
        <v>0</v>
      </c>
    </row>
    <row r="24" spans="1:13" ht="12.75">
      <c r="A24" s="3">
        <v>41640</v>
      </c>
      <c r="B24" s="16">
        <v>576137767.1</v>
      </c>
      <c r="C24" s="16">
        <v>3659747.62</v>
      </c>
      <c r="D24" s="16">
        <f t="shared" si="0"/>
        <v>532791530.36</v>
      </c>
      <c r="E24" s="16">
        <v>39686489.12</v>
      </c>
      <c r="F24" s="17">
        <f>167772/31</f>
        <v>5412</v>
      </c>
      <c r="G24" s="16">
        <f>E24/F24/31</f>
        <v>236.55013422978806</v>
      </c>
      <c r="I24" s="16">
        <v>20240109.45</v>
      </c>
      <c r="J24" s="16">
        <v>12302811.63</v>
      </c>
      <c r="K24" s="16">
        <v>3174919.13</v>
      </c>
      <c r="L24" s="16">
        <v>3968648.94</v>
      </c>
      <c r="M24" s="16">
        <v>0</v>
      </c>
    </row>
    <row r="25" spans="1:13" ht="12.75">
      <c r="A25" s="3">
        <v>41671</v>
      </c>
      <c r="B25" s="16">
        <v>587382880.87</v>
      </c>
      <c r="C25" s="16">
        <f>4042262.07-6640</f>
        <v>4035622.07</v>
      </c>
      <c r="D25" s="16">
        <f t="shared" si="0"/>
        <v>543115196.4399999</v>
      </c>
      <c r="E25" s="16">
        <v>40232062.36</v>
      </c>
      <c r="F25" s="17">
        <f>151001/28</f>
        <v>5392.892857142857</v>
      </c>
      <c r="G25" s="16">
        <f>E25/F25/28</f>
        <v>266.4357345977841</v>
      </c>
      <c r="I25" s="16">
        <v>20518351.83</v>
      </c>
      <c r="J25" s="16">
        <v>12471939.35</v>
      </c>
      <c r="K25" s="16">
        <v>3218564.98</v>
      </c>
      <c r="L25" s="16">
        <v>4023206.24</v>
      </c>
      <c r="M25" s="16">
        <v>0</v>
      </c>
    </row>
    <row r="26" spans="1:13" ht="12.75">
      <c r="A26" s="3">
        <v>41699</v>
      </c>
      <c r="B26" s="16">
        <v>745025695.62</v>
      </c>
      <c r="C26" s="16">
        <f>5781947.91-8577.15</f>
        <v>5773370.76</v>
      </c>
      <c r="D26" s="16">
        <f t="shared" si="0"/>
        <v>688754867.1800001</v>
      </c>
      <c r="E26" s="16">
        <v>50497457.68</v>
      </c>
      <c r="F26" s="17">
        <f>167493/31</f>
        <v>5403</v>
      </c>
      <c r="G26" s="16">
        <f>E26/F26/31</f>
        <v>301.48995886395255</v>
      </c>
      <c r="I26" s="16">
        <v>25753703.41</v>
      </c>
      <c r="J26" s="16">
        <v>15654211.87</v>
      </c>
      <c r="K26" s="16">
        <v>4039796.63</v>
      </c>
      <c r="L26" s="16">
        <v>5049745.77</v>
      </c>
      <c r="M26" s="16">
        <v>0</v>
      </c>
    </row>
    <row r="27" spans="1:13" ht="13.5" thickBot="1">
      <c r="A27" s="3" t="s">
        <v>19</v>
      </c>
      <c r="B27" s="18">
        <f>SUM(B15:B26)</f>
        <v>7756653729.120001</v>
      </c>
      <c r="C27" s="18">
        <f>SUM(C15:C26)</f>
        <v>54049237.609999985</v>
      </c>
      <c r="D27" s="18">
        <f>SUM(D15:D26)</f>
        <v>7155381364.17</v>
      </c>
      <c r="E27" s="18">
        <f>SUM(E15:E26)</f>
        <v>547223127.34</v>
      </c>
      <c r="I27" s="18">
        <f>SUM(I15:I26)</f>
        <v>276583794.97</v>
      </c>
      <c r="J27" s="18">
        <f>SUM(J15:J26)</f>
        <v>169639169.43</v>
      </c>
      <c r="K27" s="18">
        <f>SUM(K15:K26)</f>
        <v>43777850.19</v>
      </c>
      <c r="L27" s="18">
        <f>SUM(L15:L26)</f>
        <v>54722312.91</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0.00696811273230988</v>
      </c>
      <c r="D29" s="21">
        <f>D27/B27</f>
        <v>0.9224830209072366</v>
      </c>
      <c r="E29" s="21">
        <f>E27/B27</f>
        <v>0.07054886636045347</v>
      </c>
      <c r="I29" s="21">
        <f>I27/$E$27</f>
        <v>0.5054314796862621</v>
      </c>
      <c r="J29" s="21">
        <f>J27/$E$27</f>
        <v>0.30999999991703564</v>
      </c>
      <c r="K29" s="21">
        <f>K27/$E$27</f>
        <v>0.08000000000511673</v>
      </c>
      <c r="L29" s="21">
        <f>L27/$E$27</f>
        <v>0.10000000032162382</v>
      </c>
      <c r="M29" s="21">
        <f>M27/$E$27</f>
        <v>0.004568520362347009</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93</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66:M66"/>
    <mergeCell ref="A68:M68"/>
    <mergeCell ref="I10:M10"/>
    <mergeCell ref="A31:M31"/>
    <mergeCell ref="A59:M59"/>
    <mergeCell ref="F61:I61"/>
    <mergeCell ref="B63:D63"/>
    <mergeCell ref="B64:D64"/>
    <mergeCell ref="A1:M1"/>
    <mergeCell ref="A2:M2"/>
    <mergeCell ref="A3:M3"/>
    <mergeCell ref="A4:M4"/>
    <mergeCell ref="A5:M5"/>
    <mergeCell ref="A8:M8"/>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D28" sqref="D28"/>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86</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41000</v>
      </c>
      <c r="B15" s="16">
        <v>613784500.91</v>
      </c>
      <c r="C15" s="16">
        <f>3046030.46-221470</f>
        <v>2824560.46</v>
      </c>
      <c r="D15" s="16">
        <f aca="true" t="shared" si="0" ref="D15:D26">+B15-C15-E15</f>
        <v>563320416.0699999</v>
      </c>
      <c r="E15" s="16">
        <v>47639524.38</v>
      </c>
      <c r="F15" s="17">
        <f>145877/30</f>
        <v>4862.566666666667</v>
      </c>
      <c r="G15" s="16">
        <f>E15/F15/30</f>
        <v>326.5732389615909</v>
      </c>
      <c r="I15" s="16">
        <v>22390576.46</v>
      </c>
      <c r="J15" s="16">
        <v>14768252.6</v>
      </c>
      <c r="K15" s="16">
        <v>3811161.95</v>
      </c>
      <c r="L15" s="16">
        <v>4763952.47</v>
      </c>
      <c r="M15" s="16">
        <v>1905580.98</v>
      </c>
    </row>
    <row r="16" spans="1:13" ht="12.75">
      <c r="A16" s="3">
        <v>41030</v>
      </c>
      <c r="B16" s="16">
        <v>609121203.68</v>
      </c>
      <c r="C16" s="16">
        <v>3285298.33</v>
      </c>
      <c r="D16" s="16">
        <f t="shared" si="0"/>
        <v>558981095.6199999</v>
      </c>
      <c r="E16" s="16">
        <v>46854809.73</v>
      </c>
      <c r="F16" s="17">
        <f>151445/31</f>
        <v>4885.322580645161</v>
      </c>
      <c r="G16" s="16">
        <f>E16/F16/31</f>
        <v>309.38498946812376</v>
      </c>
      <c r="I16" s="16">
        <v>23301533.95</v>
      </c>
      <c r="J16" s="16">
        <v>14524991.02</v>
      </c>
      <c r="K16" s="16">
        <v>3748384.76</v>
      </c>
      <c r="L16" s="16">
        <v>4685481</v>
      </c>
      <c r="M16" s="16">
        <v>594419.02</v>
      </c>
    </row>
    <row r="17" spans="1:13" ht="12.75">
      <c r="A17" s="3">
        <v>41061</v>
      </c>
      <c r="B17" s="16">
        <v>603732530.27</v>
      </c>
      <c r="C17" s="16">
        <v>3442293.36</v>
      </c>
      <c r="D17" s="16">
        <f t="shared" si="0"/>
        <v>554152991.8</v>
      </c>
      <c r="E17" s="16">
        <v>46137245.11</v>
      </c>
      <c r="F17" s="17">
        <f>149414/30</f>
        <v>4980.466666666666</v>
      </c>
      <c r="G17" s="16">
        <f>E17/F17/30</f>
        <v>308.7879657194105</v>
      </c>
      <c r="I17" s="16">
        <v>23529995.01</v>
      </c>
      <c r="J17" s="16">
        <v>14302545.98</v>
      </c>
      <c r="K17" s="16">
        <v>3690979.59</v>
      </c>
      <c r="L17" s="16">
        <v>4613724.51</v>
      </c>
      <c r="M17" s="16">
        <v>0</v>
      </c>
    </row>
    <row r="18" spans="1:13" ht="12.75">
      <c r="A18" s="3">
        <v>41091</v>
      </c>
      <c r="B18" s="16">
        <v>621011404.39</v>
      </c>
      <c r="C18" s="16">
        <v>5068877.79</v>
      </c>
      <c r="D18" s="16">
        <f t="shared" si="0"/>
        <v>570631416.98</v>
      </c>
      <c r="E18" s="16">
        <v>45311109.62</v>
      </c>
      <c r="F18" s="17">
        <f>153547/31</f>
        <v>4953.129032258064</v>
      </c>
      <c r="G18" s="16">
        <f>E18/F18/31</f>
        <v>295.09602675402317</v>
      </c>
      <c r="I18" s="16">
        <v>23108665.91</v>
      </c>
      <c r="J18" s="16">
        <v>14046443.98</v>
      </c>
      <c r="K18" s="16">
        <v>3624888.75</v>
      </c>
      <c r="L18" s="16">
        <v>4531110.97</v>
      </c>
      <c r="M18" s="16">
        <v>0</v>
      </c>
    </row>
    <row r="19" spans="1:13" ht="12.75">
      <c r="A19" s="3">
        <v>41122</v>
      </c>
      <c r="B19" s="16">
        <v>635267301.49</v>
      </c>
      <c r="C19" s="16">
        <f>4999496.98-3092.8</f>
        <v>4996404.180000001</v>
      </c>
      <c r="D19" s="16">
        <f t="shared" si="0"/>
        <v>583714482.97</v>
      </c>
      <c r="E19" s="16">
        <v>46556414.34</v>
      </c>
      <c r="F19" s="17">
        <f>153884/31</f>
        <v>4964</v>
      </c>
      <c r="G19" s="16">
        <f>E19/F19/31</f>
        <v>302.5422678121182</v>
      </c>
      <c r="I19" s="16">
        <v>23743771.32</v>
      </c>
      <c r="J19" s="16">
        <v>14432488.44</v>
      </c>
      <c r="K19" s="16">
        <v>3724513.16</v>
      </c>
      <c r="L19" s="16">
        <v>4655641.44</v>
      </c>
      <c r="M19" s="16">
        <v>0</v>
      </c>
    </row>
    <row r="20" spans="1:13" ht="12.75">
      <c r="A20" s="3">
        <v>41153</v>
      </c>
      <c r="B20" s="26">
        <v>596258092.8</v>
      </c>
      <c r="C20" s="16">
        <f>3552896.08-38708.19</f>
        <v>3514187.89</v>
      </c>
      <c r="D20" s="16">
        <f t="shared" si="0"/>
        <v>548679912.0799999</v>
      </c>
      <c r="E20" s="16">
        <v>44063992.83</v>
      </c>
      <c r="F20" s="17">
        <f>148920/30</f>
        <v>4964</v>
      </c>
      <c r="G20" s="16">
        <f>E20/F20/30</f>
        <v>295.89036281224816</v>
      </c>
      <c r="I20" s="16">
        <v>22472636.36</v>
      </c>
      <c r="J20" s="16">
        <v>13659837.77</v>
      </c>
      <c r="K20" s="16">
        <v>3525119.44</v>
      </c>
      <c r="L20" s="16">
        <v>4406399.31</v>
      </c>
      <c r="M20" s="16">
        <v>0</v>
      </c>
    </row>
    <row r="21" spans="1:13" ht="12.75">
      <c r="A21" s="3">
        <v>41183</v>
      </c>
      <c r="B21" s="16">
        <v>553880087.18</v>
      </c>
      <c r="C21" s="16">
        <f>4390721.83-125584.75</f>
        <v>4265137.08</v>
      </c>
      <c r="D21" s="16">
        <f t="shared" si="0"/>
        <v>509376321.4299999</v>
      </c>
      <c r="E21" s="16">
        <v>40238628.67</v>
      </c>
      <c r="F21" s="17">
        <f>153884/31</f>
        <v>4964</v>
      </c>
      <c r="G21" s="16">
        <f>E21/F21/31</f>
        <v>261.48676061188945</v>
      </c>
      <c r="I21" s="16">
        <v>20521700.63</v>
      </c>
      <c r="J21" s="16">
        <v>12473974.91</v>
      </c>
      <c r="K21" s="16">
        <v>3219090.25</v>
      </c>
      <c r="L21" s="16">
        <v>4023862.87</v>
      </c>
      <c r="M21" s="16">
        <v>0</v>
      </c>
    </row>
    <row r="22" spans="1:13" ht="12.75">
      <c r="A22" s="3">
        <v>41214</v>
      </c>
      <c r="B22" s="16">
        <v>531215067.64</v>
      </c>
      <c r="C22" s="16">
        <f>2961465.63-121340</f>
        <v>2840125.63</v>
      </c>
      <c r="D22" s="16">
        <f t="shared" si="0"/>
        <v>488296896.53</v>
      </c>
      <c r="E22" s="16">
        <v>40078045.48</v>
      </c>
      <c r="F22" s="17">
        <f>148920/30</f>
        <v>4964</v>
      </c>
      <c r="G22" s="16">
        <f>E22/F22/30</f>
        <v>269.1246674724684</v>
      </c>
      <c r="I22" s="16">
        <v>20439803.23</v>
      </c>
      <c r="J22" s="16">
        <v>12424194.12</v>
      </c>
      <c r="K22" s="16">
        <v>3206243.62</v>
      </c>
      <c r="L22" s="16">
        <v>4007804.56</v>
      </c>
      <c r="M22" s="16">
        <v>0</v>
      </c>
    </row>
    <row r="23" spans="1:13" ht="12.75">
      <c r="A23" s="3">
        <v>41244</v>
      </c>
      <c r="B23" s="16">
        <v>590957920.41</v>
      </c>
      <c r="C23" s="16">
        <f>2806058.27-169711.5</f>
        <v>2636346.77</v>
      </c>
      <c r="D23" s="16">
        <f t="shared" si="0"/>
        <v>542970237.73</v>
      </c>
      <c r="E23" s="16">
        <v>45351335.91</v>
      </c>
      <c r="F23" s="17">
        <f>153936/31</f>
        <v>4965.677419354839</v>
      </c>
      <c r="G23" s="16">
        <f>E23/F23/31</f>
        <v>294.61163022294977</v>
      </c>
      <c r="I23" s="16">
        <v>23129181.33</v>
      </c>
      <c r="J23" s="16">
        <v>14058914.14</v>
      </c>
      <c r="K23" s="16">
        <v>3628106.88</v>
      </c>
      <c r="L23" s="16">
        <v>4535133.6</v>
      </c>
      <c r="M23" s="16">
        <v>0</v>
      </c>
    </row>
    <row r="24" spans="1:13" ht="12.75">
      <c r="A24" s="3">
        <v>41275</v>
      </c>
      <c r="B24" s="16">
        <v>605103484.62</v>
      </c>
      <c r="C24" s="16">
        <f>3510406.49-661.05</f>
        <v>3509745.4400000004</v>
      </c>
      <c r="D24" s="16">
        <f t="shared" si="0"/>
        <v>556894499.18</v>
      </c>
      <c r="E24" s="16">
        <v>44699240</v>
      </c>
      <c r="F24" s="17">
        <f>155956/31</f>
        <v>5030.8387096774195</v>
      </c>
      <c r="G24" s="16">
        <f>E24/F24/31</f>
        <v>286.6144297109441</v>
      </c>
      <c r="I24" s="16">
        <v>22796612.14</v>
      </c>
      <c r="J24" s="16">
        <v>13856764.25</v>
      </c>
      <c r="K24" s="16">
        <v>3575939.15</v>
      </c>
      <c r="L24" s="16">
        <v>4469923.96</v>
      </c>
      <c r="M24" s="16">
        <v>0</v>
      </c>
    </row>
    <row r="25" spans="1:13" ht="12.75">
      <c r="A25" s="3">
        <v>41306</v>
      </c>
      <c r="B25" s="16">
        <v>602438928.04</v>
      </c>
      <c r="C25" s="16">
        <v>4080812.41</v>
      </c>
      <c r="D25" s="16">
        <f t="shared" si="0"/>
        <v>553696009.08</v>
      </c>
      <c r="E25" s="16">
        <v>44662106.55</v>
      </c>
      <c r="F25" s="17">
        <f>148272/28</f>
        <v>5295.428571428572</v>
      </c>
      <c r="G25" s="16">
        <f>E25/F25/28</f>
        <v>301.21740146487537</v>
      </c>
      <c r="I25" s="16">
        <v>22777674.35</v>
      </c>
      <c r="J25" s="16">
        <v>13845253.04</v>
      </c>
      <c r="K25" s="16">
        <v>3572968.49</v>
      </c>
      <c r="L25" s="16">
        <v>4466210.66</v>
      </c>
      <c r="M25" s="16">
        <v>0</v>
      </c>
    </row>
    <row r="26" spans="1:13" ht="12.75">
      <c r="A26" s="3">
        <v>41334</v>
      </c>
      <c r="B26" s="16">
        <v>742514678.2</v>
      </c>
      <c r="C26" s="16">
        <v>5468547</v>
      </c>
      <c r="D26" s="16">
        <f t="shared" si="0"/>
        <v>683268209.72</v>
      </c>
      <c r="E26" s="16">
        <v>53777921.48</v>
      </c>
      <c r="F26" s="17">
        <f>164292/31</f>
        <v>5299.741935483871</v>
      </c>
      <c r="G26" s="16">
        <f>E26/F26/31</f>
        <v>327.3313458963309</v>
      </c>
      <c r="I26" s="16">
        <v>27426739.97</v>
      </c>
      <c r="J26" s="16">
        <v>16671155.68</v>
      </c>
      <c r="K26" s="16">
        <v>4302233.71</v>
      </c>
      <c r="L26" s="16">
        <v>5377792.14</v>
      </c>
      <c r="M26" s="16">
        <v>0</v>
      </c>
    </row>
    <row r="27" spans="1:13" ht="13.5" thickBot="1">
      <c r="A27" s="3" t="s">
        <v>19</v>
      </c>
      <c r="B27" s="18">
        <f>SUM(B15:B26)</f>
        <v>7305285199.629999</v>
      </c>
      <c r="C27" s="18">
        <f>SUM(C15:C26)</f>
        <v>45932336.34</v>
      </c>
      <c r="D27" s="18">
        <f>SUM(D15:D26)</f>
        <v>6713982489.19</v>
      </c>
      <c r="E27" s="18">
        <f>SUM(E15:E26)</f>
        <v>545370374.1</v>
      </c>
      <c r="I27" s="18">
        <f>SUM(I15:I26)</f>
        <v>275638890.65999997</v>
      </c>
      <c r="J27" s="18">
        <f>SUM(J15:J26)</f>
        <v>169064815.92999998</v>
      </c>
      <c r="K27" s="18">
        <f>SUM(K15:K26)</f>
        <v>43629629.75000001</v>
      </c>
      <c r="L27" s="18">
        <f>SUM(L15:L26)</f>
        <v>54537037.49000001</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0.006287548683564935</v>
      </c>
      <c r="D29" s="21">
        <f>D27/B27</f>
        <v>0.9190582305438331</v>
      </c>
      <c r="E29" s="21">
        <f>E27/B27</f>
        <v>0.07465422077260203</v>
      </c>
      <c r="I29" s="21">
        <f>I27/$E$27</f>
        <v>0.5054159590441163</v>
      </c>
      <c r="J29" s="21">
        <f>J27/$E$27</f>
        <v>0.3099999999248217</v>
      </c>
      <c r="K29" s="21">
        <f>K27/$E$27</f>
        <v>0.07999999967361632</v>
      </c>
      <c r="L29" s="21">
        <f>L27/$E$27</f>
        <v>0.10000000014668932</v>
      </c>
      <c r="M29" s="21">
        <f>M27/$E$27</f>
        <v>0.004584040715679939</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23</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89</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66:M66"/>
    <mergeCell ref="A68:M68"/>
    <mergeCell ref="I10:M10"/>
    <mergeCell ref="A31:M31"/>
    <mergeCell ref="A59:M59"/>
    <mergeCell ref="F61:I61"/>
    <mergeCell ref="B63:D63"/>
    <mergeCell ref="B64:D64"/>
    <mergeCell ref="A1:M1"/>
    <mergeCell ref="A2:M2"/>
    <mergeCell ref="A3:M3"/>
    <mergeCell ref="A4:M4"/>
    <mergeCell ref="A5:M5"/>
    <mergeCell ref="A8:M8"/>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D28" sqref="D28"/>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66</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40634</v>
      </c>
      <c r="B15" s="16">
        <v>701527040.4</v>
      </c>
      <c r="C15" s="16">
        <v>1438810.04</v>
      </c>
      <c r="D15" s="16">
        <f aca="true" t="shared" si="0" ref="D15:D26">+B15-C15-E15</f>
        <v>643381769.12</v>
      </c>
      <c r="E15" s="16">
        <v>56706461.24</v>
      </c>
      <c r="F15" s="17">
        <f>159556/30</f>
        <v>5318.533333333334</v>
      </c>
      <c r="G15" s="16">
        <f>E15/F15/30</f>
        <v>355.40162225174856</v>
      </c>
      <c r="I15" s="16">
        <v>27219101.38</v>
      </c>
      <c r="J15" s="16">
        <v>17011938.38</v>
      </c>
      <c r="K15" s="16">
        <v>4536516.88</v>
      </c>
      <c r="L15" s="16">
        <v>5670646.14</v>
      </c>
      <c r="M15" s="16">
        <v>2268258.49</v>
      </c>
    </row>
    <row r="16" spans="1:13" ht="12.75">
      <c r="A16" s="3">
        <v>40664</v>
      </c>
      <c r="B16" s="16">
        <v>698331615.89</v>
      </c>
      <c r="C16" s="16">
        <v>1737284.6</v>
      </c>
      <c r="D16" s="16">
        <f t="shared" si="0"/>
        <v>639871864.3199999</v>
      </c>
      <c r="E16" s="16">
        <v>56722466.97</v>
      </c>
      <c r="F16" s="17">
        <f>165968/31</f>
        <v>5353.806451612903</v>
      </c>
      <c r="G16" s="16">
        <f>E16/F16/31</f>
        <v>341.7674911428709</v>
      </c>
      <c r="I16" s="16">
        <v>29263941.33</v>
      </c>
      <c r="J16" s="16">
        <v>17016740.07</v>
      </c>
      <c r="K16" s="16">
        <v>4537797.38</v>
      </c>
      <c r="L16" s="16">
        <v>5672246.72</v>
      </c>
      <c r="M16" s="16">
        <v>231741.51</v>
      </c>
    </row>
    <row r="17" spans="1:13" ht="12.75">
      <c r="A17" s="3">
        <v>40695</v>
      </c>
      <c r="B17" s="16">
        <v>652940092.38</v>
      </c>
      <c r="C17" s="16">
        <v>1823954.95</v>
      </c>
      <c r="D17" s="16">
        <f t="shared" si="0"/>
        <v>598952384.56</v>
      </c>
      <c r="E17" s="16">
        <v>52163752.87</v>
      </c>
      <c r="F17" s="17">
        <f>160620/30</f>
        <v>5354</v>
      </c>
      <c r="G17" s="16">
        <f>E17/F17/30</f>
        <v>324.76499109699915</v>
      </c>
      <c r="I17" s="16">
        <v>27125151.48</v>
      </c>
      <c r="J17" s="16">
        <v>15649125.89</v>
      </c>
      <c r="K17" s="16">
        <v>4173100.22</v>
      </c>
      <c r="L17" s="16">
        <v>5216375.32</v>
      </c>
      <c r="M17" s="16">
        <v>0</v>
      </c>
    </row>
    <row r="18" spans="1:13" ht="12.75">
      <c r="A18" s="3">
        <v>40725</v>
      </c>
      <c r="B18" s="16">
        <v>726432056.23</v>
      </c>
      <c r="C18" s="16">
        <f>2163491.94--175886.37</f>
        <v>2339378.31</v>
      </c>
      <c r="D18" s="16">
        <f t="shared" si="0"/>
        <v>666317222.48</v>
      </c>
      <c r="E18" s="16">
        <v>57775455.44</v>
      </c>
      <c r="F18" s="17">
        <f>165978/31</f>
        <v>5354.129032258064</v>
      </c>
      <c r="G18" s="16">
        <f>E18/F18/31</f>
        <v>348.0910448372676</v>
      </c>
      <c r="I18" s="16">
        <v>30043236.82</v>
      </c>
      <c r="J18" s="16">
        <v>17332636.64</v>
      </c>
      <c r="K18" s="16">
        <v>4622036.43</v>
      </c>
      <c r="L18" s="16">
        <v>5777545.56</v>
      </c>
      <c r="M18" s="16">
        <v>0</v>
      </c>
    </row>
    <row r="19" spans="1:13" ht="12.75">
      <c r="A19" s="3">
        <v>40756</v>
      </c>
      <c r="B19" s="16">
        <v>631314276.4</v>
      </c>
      <c r="C19" s="16">
        <v>2036828.48</v>
      </c>
      <c r="D19" s="16">
        <f t="shared" si="0"/>
        <v>578504896.14</v>
      </c>
      <c r="E19" s="16">
        <v>50772551.78</v>
      </c>
      <c r="F19" s="17">
        <f>166698/31</f>
        <v>5377.354838709677</v>
      </c>
      <c r="G19" s="16">
        <f>E19/F19/31</f>
        <v>304.5780500065988</v>
      </c>
      <c r="I19" s="16">
        <v>26401726.92</v>
      </c>
      <c r="J19" s="16">
        <v>15231765.55</v>
      </c>
      <c r="K19" s="16">
        <v>4061804.13</v>
      </c>
      <c r="L19" s="16">
        <v>5077255.2</v>
      </c>
      <c r="M19" s="16">
        <v>0</v>
      </c>
    </row>
    <row r="20" spans="1:13" ht="12.75">
      <c r="A20" s="3">
        <v>40787</v>
      </c>
      <c r="B20" s="16">
        <v>689079816.68</v>
      </c>
      <c r="C20" s="16">
        <f>2098574.35-58488.9</f>
        <v>2040085.4500000002</v>
      </c>
      <c r="D20" s="16">
        <f t="shared" si="0"/>
        <v>632540799.04</v>
      </c>
      <c r="E20" s="16">
        <v>54498932.19</v>
      </c>
      <c r="F20" s="17">
        <f>161340/30</f>
        <v>5378</v>
      </c>
      <c r="G20" s="16">
        <f>E20/F20/30</f>
        <v>337.78934046113795</v>
      </c>
      <c r="I20" s="16">
        <v>28339444.71</v>
      </c>
      <c r="J20" s="16">
        <v>16349679.66</v>
      </c>
      <c r="K20" s="16">
        <v>4359914.54</v>
      </c>
      <c r="L20" s="16">
        <v>5449893.22</v>
      </c>
      <c r="M20" s="16">
        <v>0</v>
      </c>
    </row>
    <row r="21" spans="1:13" ht="12.75">
      <c r="A21" s="3">
        <v>40817</v>
      </c>
      <c r="B21" s="16">
        <v>664353562.34</v>
      </c>
      <c r="C21" s="16">
        <f>2405537.05-17706</f>
        <v>2387831.05</v>
      </c>
      <c r="D21" s="16">
        <f t="shared" si="0"/>
        <v>609635307.2400001</v>
      </c>
      <c r="E21" s="16">
        <v>52330424.05</v>
      </c>
      <c r="F21" s="17">
        <f>167026/31</f>
        <v>5387.935483870968</v>
      </c>
      <c r="G21" s="16">
        <f>E21/F21/31</f>
        <v>313.30705429094866</v>
      </c>
      <c r="I21" s="16">
        <v>27211820.49</v>
      </c>
      <c r="J21" s="16">
        <v>15699127.25</v>
      </c>
      <c r="K21" s="16">
        <v>4186433.95</v>
      </c>
      <c r="L21" s="16">
        <v>5233042.41</v>
      </c>
      <c r="M21" s="16">
        <v>0</v>
      </c>
    </row>
    <row r="22" spans="1:13" ht="12.75">
      <c r="A22" s="3">
        <v>40848</v>
      </c>
      <c r="B22" s="16">
        <v>551188343.25</v>
      </c>
      <c r="C22" s="16">
        <f>3037575.06-134083.1</f>
        <v>2903491.96</v>
      </c>
      <c r="D22" s="16">
        <f t="shared" si="0"/>
        <v>505859284.54999995</v>
      </c>
      <c r="E22" s="16">
        <v>42425566.74</v>
      </c>
      <c r="F22" s="17">
        <f>161290/30</f>
        <v>5376.333333333333</v>
      </c>
      <c r="G22" s="16">
        <f>E22/F22/30</f>
        <v>263.03903986607975</v>
      </c>
      <c r="I22" s="16">
        <f>22023254.04+38040.69</f>
        <v>22061294.73</v>
      </c>
      <c r="J22" s="16">
        <v>12727670.02</v>
      </c>
      <c r="K22" s="16">
        <v>3394045.33</v>
      </c>
      <c r="L22" s="16">
        <v>4242556.67</v>
      </c>
      <c r="M22" s="16">
        <v>0</v>
      </c>
    </row>
    <row r="23" spans="1:13" ht="12.75">
      <c r="A23" s="3">
        <v>40878</v>
      </c>
      <c r="B23" s="16">
        <v>562501273.49</v>
      </c>
      <c r="C23" s="16">
        <f>2178915.51-185061.65</f>
        <v>1993853.8599999999</v>
      </c>
      <c r="D23" s="16">
        <f t="shared" si="0"/>
        <v>516618544.40999997</v>
      </c>
      <c r="E23" s="16">
        <v>43888875.22</v>
      </c>
      <c r="F23" s="17">
        <f>166780/31</f>
        <v>5380</v>
      </c>
      <c r="G23" s="16">
        <f>E23/F23/31</f>
        <v>263.1543063916537</v>
      </c>
      <c r="I23" s="16">
        <v>22822215.1</v>
      </c>
      <c r="J23" s="16">
        <v>13166662.6</v>
      </c>
      <c r="K23" s="16">
        <v>3511109.99</v>
      </c>
      <c r="L23" s="16">
        <v>4388887.55</v>
      </c>
      <c r="M23" s="16">
        <v>0</v>
      </c>
    </row>
    <row r="24" spans="1:13" ht="12.75">
      <c r="A24" s="3">
        <v>40909</v>
      </c>
      <c r="B24" s="16">
        <v>559929289.86</v>
      </c>
      <c r="C24" s="16">
        <f>2834218.58-58428.9</f>
        <v>2775789.68</v>
      </c>
      <c r="D24" s="16">
        <f t="shared" si="0"/>
        <v>514046443.1100001</v>
      </c>
      <c r="E24" s="16">
        <v>43107057.07</v>
      </c>
      <c r="F24" s="17">
        <f>159483/31</f>
        <v>5144.612903225807</v>
      </c>
      <c r="G24" s="16">
        <f>E24/F24/31</f>
        <v>270.2924892935297</v>
      </c>
      <c r="I24" s="16">
        <v>22415669.68</v>
      </c>
      <c r="J24" s="16">
        <v>12932117.15</v>
      </c>
      <c r="K24" s="16">
        <v>3448564.53</v>
      </c>
      <c r="L24" s="16">
        <v>4310705.71</v>
      </c>
      <c r="M24" s="16">
        <v>0</v>
      </c>
    </row>
    <row r="25" spans="1:13" ht="12.75">
      <c r="A25" s="3">
        <v>40940</v>
      </c>
      <c r="B25" s="16">
        <v>599819453.48</v>
      </c>
      <c r="C25" s="16">
        <f>2690062.06-761.7</f>
        <v>2689300.36</v>
      </c>
      <c r="D25" s="16">
        <f t="shared" si="0"/>
        <v>550185076.23</v>
      </c>
      <c r="E25" s="16">
        <v>46945076.89</v>
      </c>
      <c r="F25" s="17">
        <f>149229/29</f>
        <v>5145.827586206897</v>
      </c>
      <c r="G25" s="16">
        <f>E25/F25/29</f>
        <v>314.58414175528884</v>
      </c>
      <c r="I25" s="16">
        <v>24411439.98</v>
      </c>
      <c r="J25" s="16">
        <v>14083523.06</v>
      </c>
      <c r="K25" s="16">
        <v>3755606.16</v>
      </c>
      <c r="L25" s="16">
        <v>4694507.69</v>
      </c>
      <c r="M25" s="16">
        <v>0</v>
      </c>
    </row>
    <row r="26" spans="1:13" ht="12.75">
      <c r="A26" s="3">
        <v>40969</v>
      </c>
      <c r="B26" s="16">
        <v>673945379.1</v>
      </c>
      <c r="C26" s="16">
        <v>3033642.73</v>
      </c>
      <c r="D26" s="16">
        <f t="shared" si="0"/>
        <v>618496406.9300001</v>
      </c>
      <c r="E26" s="16">
        <v>52415329.44</v>
      </c>
      <c r="F26" s="17">
        <f>156539/31</f>
        <v>5049.645161290323</v>
      </c>
      <c r="G26" s="16">
        <f>E26/F26/31</f>
        <v>334.8387905889267</v>
      </c>
      <c r="I26" s="16">
        <v>27255971.31</v>
      </c>
      <c r="J26" s="16">
        <v>15724598.87</v>
      </c>
      <c r="K26" s="16">
        <v>4193226.35</v>
      </c>
      <c r="L26" s="16">
        <v>5241532.94</v>
      </c>
      <c r="M26" s="16">
        <v>0</v>
      </c>
    </row>
    <row r="27" spans="1:13" ht="13.5" thickBot="1">
      <c r="A27" s="3" t="s">
        <v>19</v>
      </c>
      <c r="B27" s="18">
        <f>SUM(B15:B26)</f>
        <v>7711362199.5</v>
      </c>
      <c r="C27" s="18">
        <f>SUM(C15:C26)</f>
        <v>27200251.470000003</v>
      </c>
      <c r="D27" s="18">
        <f>SUM(D15:D26)</f>
        <v>7074409998.129999</v>
      </c>
      <c r="E27" s="18">
        <f>SUM(E15:E26)</f>
        <v>609751949.9000001</v>
      </c>
      <c r="I27" s="18">
        <f>SUM(I15:I26)</f>
        <v>314571013.93</v>
      </c>
      <c r="J27" s="18">
        <f>SUM(J15:J26)</f>
        <v>182925585.14000002</v>
      </c>
      <c r="K27" s="18">
        <f>SUM(K15:K26)</f>
        <v>48780155.89000001</v>
      </c>
      <c r="L27" s="18">
        <f>SUM(L15:L26)</f>
        <v>60975195.12999999</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0.0035272952775793165</v>
      </c>
      <c r="D29" s="21">
        <f>D27/B27</f>
        <v>0.9174008190911717</v>
      </c>
      <c r="E29" s="21">
        <f>E27/B27</f>
        <v>0.07907188563124892</v>
      </c>
      <c r="I29" s="21">
        <f>I27/$E$27</f>
        <v>0.5158999720814176</v>
      </c>
      <c r="J29" s="21">
        <f>J27/$E$27</f>
        <v>0.30000000027880186</v>
      </c>
      <c r="K29" s="21">
        <f>K27/$E$27</f>
        <v>0.07999999983271887</v>
      </c>
      <c r="L29" s="21">
        <f>L27/$E$27</f>
        <v>0.10000000022960152</v>
      </c>
      <c r="M29" s="21">
        <f>M27/$E$27</f>
        <v>0.004100027889062105</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23</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0.48</v>
      </c>
      <c r="F63" s="57">
        <v>0.2</v>
      </c>
      <c r="G63" s="58">
        <v>0.0875</v>
      </c>
      <c r="H63" s="59"/>
      <c r="I63" s="57">
        <v>0.0125</v>
      </c>
      <c r="J63" s="57">
        <v>0.08</v>
      </c>
      <c r="K63" s="57">
        <v>0.1</v>
      </c>
      <c r="L63" s="57">
        <v>0.04</v>
      </c>
      <c r="M63" s="39"/>
    </row>
    <row r="64" spans="2:13" ht="12.75">
      <c r="B64" s="138" t="s">
        <v>53</v>
      </c>
      <c r="C64" s="138"/>
      <c r="D64" s="138"/>
      <c r="E64" s="57">
        <v>0.52</v>
      </c>
      <c r="F64" s="57">
        <v>0.2</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85</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4" t="s">
        <v>35</v>
      </c>
    </row>
  </sheetData>
  <sheetProtection/>
  <mergeCells count="14">
    <mergeCell ref="A1:M1"/>
    <mergeCell ref="A5:M5"/>
    <mergeCell ref="I10:M10"/>
    <mergeCell ref="A8:M8"/>
    <mergeCell ref="A4:M4"/>
    <mergeCell ref="A3:M3"/>
    <mergeCell ref="A59:M59"/>
    <mergeCell ref="A68:M68"/>
    <mergeCell ref="A66:M66"/>
    <mergeCell ref="A2:M2"/>
    <mergeCell ref="A31:M31"/>
    <mergeCell ref="B63:D63"/>
    <mergeCell ref="B64:D64"/>
    <mergeCell ref="F61:I61"/>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D28" sqref="D28"/>
    </sheetView>
  </sheetViews>
  <sheetFormatPr defaultColWidth="9.140625" defaultRowHeight="12.75"/>
  <cols>
    <col min="1" max="1" width="9.28125" style="3" customWidth="1"/>
    <col min="2" max="2" width="14.421875" style="16" bestFit="1" customWidth="1"/>
    <col min="3" max="3" width="14.4218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61</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40269</v>
      </c>
      <c r="B15" s="16">
        <v>606835493.83</v>
      </c>
      <c r="C15" s="16">
        <v>0</v>
      </c>
      <c r="D15" s="16">
        <f aca="true" t="shared" si="0" ref="D15:D21">+B15-E15</f>
        <v>555861438.7900001</v>
      </c>
      <c r="E15" s="16">
        <v>50974055.04</v>
      </c>
      <c r="F15" s="17">
        <f>159300/30</f>
        <v>5310</v>
      </c>
      <c r="G15" s="16">
        <f>E15/F15/30</f>
        <v>319.9877905838041</v>
      </c>
      <c r="I15" s="16">
        <v>23957805.85</v>
      </c>
      <c r="J15" s="16">
        <v>15801957.05</v>
      </c>
      <c r="K15" s="16">
        <v>4077924.39</v>
      </c>
      <c r="L15" s="16">
        <v>5097405.54</v>
      </c>
      <c r="M15" s="16">
        <v>2038962.18</v>
      </c>
    </row>
    <row r="16" spans="1:13" ht="12.75">
      <c r="A16" s="3">
        <v>40299</v>
      </c>
      <c r="B16" s="16">
        <v>626790991</v>
      </c>
      <c r="C16" s="16">
        <v>0</v>
      </c>
      <c r="D16" s="16">
        <f t="shared" si="0"/>
        <v>573840669.66</v>
      </c>
      <c r="E16" s="16">
        <v>52950321.34</v>
      </c>
      <c r="F16" s="17">
        <f>164610/31</f>
        <v>5310</v>
      </c>
      <c r="G16" s="16">
        <f>E16/F16/31</f>
        <v>321.6713525302229</v>
      </c>
      <c r="I16" s="16">
        <f>26544813.55-1187.49</f>
        <v>26543626.060000002</v>
      </c>
      <c r="J16" s="16">
        <v>16414599.62</v>
      </c>
      <c r="K16" s="16">
        <v>4236025.7</v>
      </c>
      <c r="L16" s="16">
        <v>5295032.14</v>
      </c>
      <c r="M16" s="16">
        <v>461037.92</v>
      </c>
    </row>
    <row r="17" spans="1:13" ht="12.75">
      <c r="A17" s="3">
        <v>40330</v>
      </c>
      <c r="B17" s="16">
        <v>547447538.05</v>
      </c>
      <c r="C17" s="16">
        <v>0</v>
      </c>
      <c r="D17" s="16">
        <f t="shared" si="0"/>
        <v>500877444.23999995</v>
      </c>
      <c r="E17" s="16">
        <v>46570093.81</v>
      </c>
      <c r="F17" s="17">
        <f>159300/30</f>
        <v>5310</v>
      </c>
      <c r="G17" s="16">
        <f>E17/F17/30</f>
        <v>292.3420829252982</v>
      </c>
      <c r="I17" s="16">
        <v>23750747.85</v>
      </c>
      <c r="J17" s="16">
        <v>14436729.09</v>
      </c>
      <c r="K17" s="16">
        <v>3725607.5</v>
      </c>
      <c r="L17" s="16">
        <v>4657009.4</v>
      </c>
      <c r="M17" s="16">
        <v>0</v>
      </c>
    </row>
    <row r="18" spans="1:13" ht="12.75">
      <c r="A18" s="3">
        <v>40360</v>
      </c>
      <c r="B18" s="16">
        <v>618675678.02</v>
      </c>
      <c r="C18" s="16">
        <v>0</v>
      </c>
      <c r="D18" s="16">
        <f t="shared" si="0"/>
        <v>566556675.66</v>
      </c>
      <c r="E18" s="16">
        <v>52119002.36</v>
      </c>
      <c r="F18" s="17">
        <f>164610/31</f>
        <v>5310</v>
      </c>
      <c r="G18" s="16">
        <f>E18/F18/31</f>
        <v>316.6211187655671</v>
      </c>
      <c r="I18" s="16">
        <v>26580691.23</v>
      </c>
      <c r="J18" s="16">
        <v>16156890.74</v>
      </c>
      <c r="K18" s="16">
        <v>4169520.17</v>
      </c>
      <c r="L18" s="16">
        <v>5211900.26</v>
      </c>
      <c r="M18" s="16">
        <v>0</v>
      </c>
    </row>
    <row r="19" spans="1:13" ht="12.75">
      <c r="A19" s="3">
        <v>40391</v>
      </c>
      <c r="B19" s="16">
        <v>584907858.55</v>
      </c>
      <c r="C19" s="16">
        <v>0</v>
      </c>
      <c r="D19" s="16">
        <f t="shared" si="0"/>
        <v>535717748.22999996</v>
      </c>
      <c r="E19" s="16">
        <v>49190110.32</v>
      </c>
      <c r="F19" s="17">
        <f>164610/31</f>
        <v>5310</v>
      </c>
      <c r="G19" s="16">
        <f>E19/F19/31</f>
        <v>298.8282019318389</v>
      </c>
      <c r="I19" s="16">
        <v>25414726.5</v>
      </c>
      <c r="J19" s="16">
        <v>14921163.95</v>
      </c>
      <c r="K19" s="16">
        <v>3935208.83</v>
      </c>
      <c r="L19" s="16">
        <v>4919011.02</v>
      </c>
      <c r="M19" s="16">
        <v>0</v>
      </c>
    </row>
    <row r="20" spans="1:13" ht="12.75">
      <c r="A20" s="3">
        <v>40422</v>
      </c>
      <c r="B20" s="16">
        <v>569974969.76</v>
      </c>
      <c r="C20" s="16">
        <v>0</v>
      </c>
      <c r="D20" s="16">
        <f t="shared" si="0"/>
        <v>521248081.96</v>
      </c>
      <c r="E20" s="16">
        <v>48726887.8</v>
      </c>
      <c r="F20" s="17">
        <f>159300/30</f>
        <v>5310</v>
      </c>
      <c r="G20" s="16">
        <f>E20/F20/30</f>
        <v>305.88127934714373</v>
      </c>
      <c r="I20" s="16">
        <v>25337981.67</v>
      </c>
      <c r="J20" s="16">
        <v>14618066.34</v>
      </c>
      <c r="K20" s="16">
        <v>3898151.03</v>
      </c>
      <c r="L20" s="16">
        <v>4872688.77</v>
      </c>
      <c r="M20" s="16">
        <v>0</v>
      </c>
    </row>
    <row r="21" spans="1:13" ht="12.75">
      <c r="A21" s="3">
        <v>40452</v>
      </c>
      <c r="B21" s="16">
        <v>591763626.24</v>
      </c>
      <c r="C21" s="16">
        <v>0</v>
      </c>
      <c r="D21" s="16">
        <f t="shared" si="0"/>
        <v>541390339.6800001</v>
      </c>
      <c r="E21" s="16">
        <v>50373286.56</v>
      </c>
      <c r="F21" s="17">
        <f>164610/31</f>
        <v>5310</v>
      </c>
      <c r="G21" s="16">
        <f>E21/F21/31</f>
        <v>306.0159562602515</v>
      </c>
      <c r="I21" s="16">
        <v>26194109.02</v>
      </c>
      <c r="J21" s="16">
        <v>15111985.99</v>
      </c>
      <c r="K21" s="16">
        <v>4029862.92</v>
      </c>
      <c r="L21" s="16">
        <v>5037328.68</v>
      </c>
      <c r="M21" s="16">
        <v>0</v>
      </c>
    </row>
    <row r="22" spans="1:13" ht="12.75">
      <c r="A22" s="3">
        <v>40483</v>
      </c>
      <c r="B22" s="16">
        <v>555295389.22</v>
      </c>
      <c r="C22" s="16">
        <v>1361035.31</v>
      </c>
      <c r="D22" s="16">
        <f>+B22-C22-E22</f>
        <v>507886624.9000001</v>
      </c>
      <c r="E22" s="16">
        <v>46047729.01</v>
      </c>
      <c r="F22" s="17">
        <f>159224/30</f>
        <v>5307.466666666666</v>
      </c>
      <c r="G22" s="16">
        <f>E22/F22/30</f>
        <v>289.200930827011</v>
      </c>
      <c r="I22" s="16">
        <v>23944819.07</v>
      </c>
      <c r="J22" s="16">
        <v>13814318.72</v>
      </c>
      <c r="K22" s="16">
        <v>3683818.31</v>
      </c>
      <c r="L22" s="16">
        <v>4604772.92</v>
      </c>
      <c r="M22" s="16">
        <v>0</v>
      </c>
    </row>
    <row r="23" spans="1:13" ht="12.75">
      <c r="A23" s="3">
        <v>40513</v>
      </c>
      <c r="B23" s="16">
        <v>512676626.24</v>
      </c>
      <c r="C23" s="16">
        <v>1621200.34</v>
      </c>
      <c r="D23" s="16">
        <f>+B23-C23-E23</f>
        <v>470124381.86</v>
      </c>
      <c r="E23" s="16">
        <v>40931044.04</v>
      </c>
      <c r="F23" s="17">
        <f>164182/31</f>
        <v>5296.193548387097</v>
      </c>
      <c r="G23" s="16">
        <f>E23/F23/31</f>
        <v>249.3028714475399</v>
      </c>
      <c r="I23" s="16">
        <v>21284142.87</v>
      </c>
      <c r="J23" s="16">
        <v>12279313.22</v>
      </c>
      <c r="K23" s="16">
        <v>3274483.52</v>
      </c>
      <c r="L23" s="16">
        <v>4093104.42</v>
      </c>
      <c r="M23" s="16">
        <v>0</v>
      </c>
    </row>
    <row r="24" spans="1:13" ht="12.75">
      <c r="A24" s="3">
        <v>40544</v>
      </c>
      <c r="B24" s="16">
        <v>563537837.88</v>
      </c>
      <c r="C24" s="16">
        <f>110919.09-14031-977</f>
        <v>95911.09</v>
      </c>
      <c r="D24" s="16">
        <f>+B24-C24-E24</f>
        <v>516084733.30999994</v>
      </c>
      <c r="E24" s="16">
        <v>47357193.48</v>
      </c>
      <c r="F24" s="17">
        <f>164610/31</f>
        <v>5310</v>
      </c>
      <c r="G24" s="16">
        <f>E24/F24/31</f>
        <v>287.69329615454706</v>
      </c>
      <c r="I24" s="16">
        <v>24625740.6</v>
      </c>
      <c r="J24" s="16">
        <v>14207158.06</v>
      </c>
      <c r="K24" s="16">
        <v>3788575.46</v>
      </c>
      <c r="L24" s="16">
        <v>4735719.36</v>
      </c>
      <c r="M24" s="16">
        <v>0</v>
      </c>
    </row>
    <row r="25" spans="1:13" ht="12.75">
      <c r="A25" s="3">
        <v>40575</v>
      </c>
      <c r="B25" s="16">
        <v>614544766.79</v>
      </c>
      <c r="C25" s="16">
        <v>0</v>
      </c>
      <c r="D25" s="16">
        <f>+B25-C25-E25</f>
        <v>563117095.6999999</v>
      </c>
      <c r="E25" s="16">
        <v>51427671.09</v>
      </c>
      <c r="F25" s="17">
        <f>148680/28</f>
        <v>5310</v>
      </c>
      <c r="G25" s="16">
        <f>E25/F25/28</f>
        <v>345.8950167473769</v>
      </c>
      <c r="I25" s="16">
        <v>26742389</v>
      </c>
      <c r="J25" s="16">
        <v>15428301.32</v>
      </c>
      <c r="K25" s="16">
        <v>4114213.68</v>
      </c>
      <c r="L25" s="16">
        <v>5142767.14</v>
      </c>
      <c r="M25" s="16">
        <v>0</v>
      </c>
    </row>
    <row r="26" spans="1:13" ht="12.75">
      <c r="A26" s="3">
        <v>40603</v>
      </c>
      <c r="B26" s="16">
        <v>691852861.357</v>
      </c>
      <c r="C26" s="16">
        <v>0</v>
      </c>
      <c r="D26" s="16">
        <f>+B26-C26-E26</f>
        <v>633490177.907</v>
      </c>
      <c r="E26" s="16">
        <v>58362683.45</v>
      </c>
      <c r="F26" s="17">
        <f>164610/31</f>
        <v>5310</v>
      </c>
      <c r="G26" s="16">
        <f>E26/F26/31</f>
        <v>354.5512632889861</v>
      </c>
      <c r="I26" s="16">
        <v>30348595.39</v>
      </c>
      <c r="J26" s="16">
        <v>17508805.05</v>
      </c>
      <c r="K26" s="16">
        <v>4669014.65</v>
      </c>
      <c r="L26" s="16">
        <v>5836268.38</v>
      </c>
      <c r="M26" s="16">
        <v>0</v>
      </c>
    </row>
    <row r="27" spans="1:13" ht="13.5" thickBot="1">
      <c r="A27" s="3" t="s">
        <v>19</v>
      </c>
      <c r="B27" s="18">
        <f>SUM(B15:B26)</f>
        <v>7084303636.937</v>
      </c>
      <c r="C27" s="18">
        <f>SUM(C15:C26)</f>
        <v>3078146.74</v>
      </c>
      <c r="D27" s="18">
        <f>SUM(D15:D26)</f>
        <v>6486195411.897</v>
      </c>
      <c r="E27" s="18">
        <f>SUM(E15:E26)</f>
        <v>595030078.3000001</v>
      </c>
      <c r="I27" s="18">
        <f>SUM(I15:I26)</f>
        <v>304725375.11</v>
      </c>
      <c r="J27" s="18">
        <f>SUM(J15:J26)</f>
        <v>180699289.15</v>
      </c>
      <c r="K27" s="18">
        <f>SUM(K15:K26)</f>
        <v>47602406.16</v>
      </c>
      <c r="L27" s="18">
        <f>SUM(L15:L26)</f>
        <v>59503008.03000001</v>
      </c>
      <c r="M27" s="18">
        <f>SUM(M15:M26)</f>
        <v>2500000.1</v>
      </c>
    </row>
    <row r="28" spans="2:13" ht="10.5" customHeight="1" thickTop="1">
      <c r="B28" s="19"/>
      <c r="C28" s="19"/>
      <c r="D28" s="19"/>
      <c r="E28" s="19"/>
      <c r="I28" s="19"/>
      <c r="J28" s="19"/>
      <c r="K28" s="19"/>
      <c r="L28" s="19"/>
      <c r="M28" s="19"/>
    </row>
    <row r="29" spans="1:13" s="22" customFormat="1" ht="12.75">
      <c r="A29" s="20"/>
      <c r="B29" s="21"/>
      <c r="C29" s="21">
        <f>C27/B27</f>
        <v>0.0004345023728162618</v>
      </c>
      <c r="D29" s="21">
        <f>D27/B27</f>
        <v>0.9155727569437437</v>
      </c>
      <c r="E29" s="21">
        <f>E27/B27</f>
        <v>0.08399274068343997</v>
      </c>
      <c r="I29" s="21">
        <f>I27/$E$27</f>
        <v>0.5121175991314588</v>
      </c>
      <c r="J29" s="21">
        <f>J27/$E$27</f>
        <v>0.3036809326786598</v>
      </c>
      <c r="K29" s="21">
        <f>K27/$E$27</f>
        <v>0.07999999982521891</v>
      </c>
      <c r="L29" s="21">
        <f>L27/$E$27</f>
        <v>0.10000000033611746</v>
      </c>
      <c r="M29" s="21">
        <f>M27/$E$27</f>
        <v>0.0042014684486916965</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6"/>
      <c r="F35" s="43"/>
      <c r="G35" s="43"/>
      <c r="H35" s="43"/>
      <c r="I35" s="43"/>
      <c r="J35" s="42"/>
      <c r="K35" s="42"/>
      <c r="L35" s="42"/>
      <c r="M35" s="42"/>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23</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71</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G61" s="10" t="s">
        <v>8</v>
      </c>
      <c r="H61" s="33"/>
      <c r="I61" s="10" t="s">
        <v>74</v>
      </c>
      <c r="J61" s="10" t="s">
        <v>9</v>
      </c>
      <c r="K61" s="54" t="s">
        <v>75</v>
      </c>
      <c r="L61" s="10" t="s">
        <v>40</v>
      </c>
      <c r="M61" s="34"/>
    </row>
    <row r="62" spans="1:13" ht="12.75">
      <c r="A62" s="35"/>
      <c r="G62" s="8" t="s">
        <v>16</v>
      </c>
      <c r="H62" s="36"/>
      <c r="I62" s="8" t="s">
        <v>17</v>
      </c>
      <c r="J62" s="8" t="s">
        <v>18</v>
      </c>
      <c r="K62" s="55" t="s">
        <v>76</v>
      </c>
      <c r="L62" s="8" t="s">
        <v>41</v>
      </c>
      <c r="M62" s="34"/>
    </row>
    <row r="63" spans="2:13" ht="12.75">
      <c r="B63" s="138" t="s">
        <v>49</v>
      </c>
      <c r="C63" s="138"/>
      <c r="D63" s="138"/>
      <c r="E63" s="26"/>
      <c r="F63" s="27"/>
      <c r="G63" s="38">
        <v>0.48</v>
      </c>
      <c r="H63" s="26"/>
      <c r="I63" s="38">
        <v>0.3</v>
      </c>
      <c r="J63" s="38">
        <v>0.08</v>
      </c>
      <c r="K63" s="38">
        <v>0.1</v>
      </c>
      <c r="L63" s="38">
        <v>0.04</v>
      </c>
      <c r="M63" s="39"/>
    </row>
    <row r="64" spans="2:13" ht="12.75">
      <c r="B64" s="138" t="s">
        <v>53</v>
      </c>
      <c r="C64" s="138"/>
      <c r="D64" s="138"/>
      <c r="E64" s="26"/>
      <c r="F64" s="27"/>
      <c r="G64" s="38">
        <v>0.52</v>
      </c>
      <c r="H64" s="26"/>
      <c r="I64" s="38">
        <v>0.3</v>
      </c>
      <c r="J64" s="38">
        <v>0.08</v>
      </c>
      <c r="K64" s="38">
        <v>0.1</v>
      </c>
      <c r="L64" s="38">
        <v>0</v>
      </c>
      <c r="M64" s="39"/>
    </row>
    <row r="65" spans="2:13" ht="12.75">
      <c r="B65" s="52"/>
      <c r="C65" s="52"/>
      <c r="D65" s="52"/>
      <c r="E65" s="26"/>
      <c r="F65" s="27"/>
      <c r="G65" s="38"/>
      <c r="H65" s="26"/>
      <c r="I65" s="38"/>
      <c r="J65" s="38"/>
      <c r="K65" s="38"/>
      <c r="L65" s="38"/>
      <c r="M65" s="39"/>
    </row>
    <row r="66" spans="1:13" s="23" customFormat="1" ht="12.75">
      <c r="A66" s="53" t="s">
        <v>63</v>
      </c>
      <c r="B66" s="37"/>
      <c r="C66" s="37"/>
      <c r="D66" s="37"/>
      <c r="E66" s="26"/>
      <c r="F66" s="27"/>
      <c r="G66" s="38"/>
      <c r="H66" s="26"/>
      <c r="I66" s="38"/>
      <c r="J66" s="38"/>
      <c r="K66" s="38"/>
      <c r="L66" s="38"/>
      <c r="M66" s="39"/>
    </row>
    <row r="67" spans="1:13" s="23" customFormat="1" ht="12.75">
      <c r="A67" s="53" t="s">
        <v>64</v>
      </c>
      <c r="B67" s="37"/>
      <c r="C67" s="37"/>
      <c r="D67" s="37"/>
      <c r="E67" s="26"/>
      <c r="F67" s="27"/>
      <c r="G67" s="38"/>
      <c r="H67" s="26"/>
      <c r="I67" s="38"/>
      <c r="J67" s="38"/>
      <c r="K67" s="38"/>
      <c r="L67" s="38"/>
      <c r="M67" s="39"/>
    </row>
    <row r="68" ht="12.75">
      <c r="A68" s="24"/>
    </row>
    <row r="69" spans="1:13" ht="13.5" customHeight="1">
      <c r="A69" s="130" t="s">
        <v>36</v>
      </c>
      <c r="B69" s="131"/>
      <c r="C69" s="131"/>
      <c r="D69" s="131"/>
      <c r="E69" s="131"/>
      <c r="F69" s="131"/>
      <c r="G69" s="131"/>
      <c r="H69" s="131"/>
      <c r="I69" s="131"/>
      <c r="J69" s="131"/>
      <c r="K69" s="131"/>
      <c r="L69" s="131"/>
      <c r="M69" s="132"/>
    </row>
    <row r="70" spans="1:6" ht="12.75">
      <c r="A70" s="24"/>
      <c r="E70"/>
      <c r="F70" s="16"/>
    </row>
    <row r="71" spans="1:13" ht="54" customHeight="1">
      <c r="A71" s="133" t="s">
        <v>62</v>
      </c>
      <c r="B71" s="133"/>
      <c r="C71" s="133"/>
      <c r="D71" s="133"/>
      <c r="E71" s="133"/>
      <c r="F71" s="133"/>
      <c r="G71" s="133"/>
      <c r="H71" s="133"/>
      <c r="I71" s="133"/>
      <c r="J71" s="133"/>
      <c r="K71" s="133"/>
      <c r="L71" s="133"/>
      <c r="M71" s="133"/>
    </row>
    <row r="72" spans="1:6" ht="12.75">
      <c r="A72" s="16"/>
      <c r="E72"/>
      <c r="F72" s="16"/>
    </row>
    <row r="73" spans="2:5" ht="12.75">
      <c r="B73" s="24" t="s">
        <v>37</v>
      </c>
      <c r="C73" s="24"/>
      <c r="D73" s="24"/>
      <c r="E73" s="16">
        <v>19600000</v>
      </c>
    </row>
    <row r="74" spans="2:4" ht="12.75">
      <c r="B74" s="24"/>
      <c r="C74" s="24"/>
      <c r="D74" s="24"/>
    </row>
    <row r="76" ht="12.75">
      <c r="A76" s="24" t="s">
        <v>35</v>
      </c>
    </row>
  </sheetData>
  <sheetProtection/>
  <mergeCells count="13">
    <mergeCell ref="A59:M59"/>
    <mergeCell ref="A71:M71"/>
    <mergeCell ref="A69:M69"/>
    <mergeCell ref="A2:M2"/>
    <mergeCell ref="A31:M31"/>
    <mergeCell ref="B63:D63"/>
    <mergeCell ref="B64:D64"/>
    <mergeCell ref="A1:M1"/>
    <mergeCell ref="A5:M5"/>
    <mergeCell ref="I10:M10"/>
    <mergeCell ref="A8:M8"/>
    <mergeCell ref="A4:M4"/>
    <mergeCell ref="A3:M3"/>
  </mergeCells>
  <hyperlinks>
    <hyperlink ref="A4" r:id="rId1" display="www.yonkersraceway.com"/>
  </hyperlinks>
  <printOptions horizontalCentered="1"/>
  <pageMargins left="0.25" right="0.25" top="0.75" bottom="0.5" header="0.5" footer="0.5"/>
  <pageSetup fitToHeight="1" fitToWidth="1" horizontalDpi="600" verticalDpi="600" orientation="portrait" scale="71"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D28" sqref="D28"/>
    </sheetView>
  </sheetViews>
  <sheetFormatPr defaultColWidth="9.140625" defaultRowHeight="12.75"/>
  <cols>
    <col min="1" max="1" width="9.28125" style="3" customWidth="1"/>
    <col min="2" max="2" width="14.421875" style="16" bestFit="1" customWidth="1"/>
    <col min="3" max="3" width="14.28125" style="16" customWidth="1"/>
    <col min="4" max="4" width="13.00390625" style="16" customWidth="1"/>
    <col min="5" max="5" width="8.28125" style="17" customWidth="1"/>
    <col min="6" max="6" width="9.00390625" style="16" customWidth="1"/>
    <col min="7" max="7" width="1.421875" style="16" customWidth="1"/>
    <col min="8" max="8" width="12.7109375" style="16" bestFit="1" customWidth="1"/>
    <col min="9" max="9" width="13.00390625" style="16" customWidth="1"/>
    <col min="10" max="11" width="12.8515625" style="16" bestFit="1" customWidth="1"/>
    <col min="12" max="12" width="10.7109375" style="16" bestFit="1" customWidth="1"/>
    <col min="13" max="13" width="12.7109375" style="0" customWidth="1"/>
  </cols>
  <sheetData>
    <row r="1" spans="1:12" ht="18">
      <c r="A1" s="139" t="s">
        <v>50</v>
      </c>
      <c r="B1" s="139"/>
      <c r="C1" s="139"/>
      <c r="D1" s="139"/>
      <c r="E1" s="139"/>
      <c r="F1" s="139"/>
      <c r="G1" s="139"/>
      <c r="H1" s="139"/>
      <c r="I1" s="139"/>
      <c r="J1" s="139"/>
      <c r="K1" s="139"/>
      <c r="L1" s="139"/>
    </row>
    <row r="2" spans="1:12" ht="15">
      <c r="A2" s="140" t="s">
        <v>0</v>
      </c>
      <c r="B2" s="140"/>
      <c r="C2" s="140"/>
      <c r="D2" s="140"/>
      <c r="E2" s="140"/>
      <c r="F2" s="140"/>
      <c r="G2" s="140"/>
      <c r="H2" s="140"/>
      <c r="I2" s="140"/>
      <c r="J2" s="140"/>
      <c r="K2" s="140"/>
      <c r="L2" s="140"/>
    </row>
    <row r="3" spans="1:12" s="1" customFormat="1" ht="15">
      <c r="A3" s="140" t="s">
        <v>1</v>
      </c>
      <c r="B3" s="140"/>
      <c r="C3" s="140"/>
      <c r="D3" s="140"/>
      <c r="E3" s="140"/>
      <c r="F3" s="140"/>
      <c r="G3" s="140"/>
      <c r="H3" s="140"/>
      <c r="I3" s="140"/>
      <c r="J3" s="140"/>
      <c r="K3" s="140"/>
      <c r="L3" s="140"/>
    </row>
    <row r="4" spans="1:12" s="1" customFormat="1" ht="14.25">
      <c r="A4" s="125" t="s">
        <v>2</v>
      </c>
      <c r="B4" s="125"/>
      <c r="C4" s="125"/>
      <c r="D4" s="125"/>
      <c r="E4" s="125"/>
      <c r="F4" s="125"/>
      <c r="G4" s="125"/>
      <c r="H4" s="125"/>
      <c r="I4" s="125"/>
      <c r="J4" s="125"/>
      <c r="K4" s="125"/>
      <c r="L4" s="125"/>
    </row>
    <row r="5" spans="1:12" s="1" customFormat="1" ht="14.25">
      <c r="A5" s="141" t="s">
        <v>3</v>
      </c>
      <c r="B5" s="141"/>
      <c r="C5" s="141"/>
      <c r="D5" s="141"/>
      <c r="E5" s="141"/>
      <c r="F5" s="141"/>
      <c r="G5" s="141"/>
      <c r="H5" s="141"/>
      <c r="I5" s="141"/>
      <c r="J5" s="141"/>
      <c r="K5" s="141"/>
      <c r="L5" s="141"/>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35" t="s">
        <v>51</v>
      </c>
      <c r="B8" s="136"/>
      <c r="C8" s="136"/>
      <c r="D8" s="136"/>
      <c r="E8" s="136"/>
      <c r="F8" s="136"/>
      <c r="G8" s="136"/>
      <c r="H8" s="136"/>
      <c r="I8" s="136"/>
      <c r="J8" s="136"/>
      <c r="K8" s="136"/>
      <c r="L8" s="137"/>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34" t="s">
        <v>4</v>
      </c>
      <c r="I10" s="134"/>
      <c r="J10" s="134"/>
      <c r="K10" s="134"/>
      <c r="L10" s="134"/>
    </row>
    <row r="11" spans="1:12" s="1" customFormat="1" ht="12.75">
      <c r="A11" s="3"/>
      <c r="B11" s="5"/>
      <c r="C11" s="5"/>
      <c r="D11" s="5"/>
      <c r="E11" s="6"/>
      <c r="F11" s="5"/>
      <c r="G11" s="5"/>
      <c r="H11" s="5"/>
      <c r="I11" s="5"/>
      <c r="J11" s="5"/>
      <c r="K11" s="5"/>
      <c r="L11" s="5"/>
    </row>
    <row r="12" spans="1:12" s="12" customFormat="1" ht="12">
      <c r="A12" s="9"/>
      <c r="B12" s="10" t="s">
        <v>5</v>
      </c>
      <c r="C12" s="10" t="s">
        <v>5</v>
      </c>
      <c r="D12" s="10"/>
      <c r="E12" s="11" t="s">
        <v>6</v>
      </c>
      <c r="F12" s="10" t="s">
        <v>7</v>
      </c>
      <c r="G12" s="10"/>
      <c r="H12" s="10" t="s">
        <v>8</v>
      </c>
      <c r="I12" s="10" t="s">
        <v>74</v>
      </c>
      <c r="J12" s="10" t="s">
        <v>9</v>
      </c>
      <c r="K12" s="54" t="s">
        <v>75</v>
      </c>
      <c r="L12" s="10" t="s">
        <v>40</v>
      </c>
    </row>
    <row r="13" spans="1:12" s="12" customFormat="1" ht="12">
      <c r="A13" s="13" t="s">
        <v>10</v>
      </c>
      <c r="B13" s="8" t="s">
        <v>11</v>
      </c>
      <c r="C13" s="8" t="s">
        <v>12</v>
      </c>
      <c r="D13" s="8" t="s">
        <v>13</v>
      </c>
      <c r="E13" s="14" t="s">
        <v>14</v>
      </c>
      <c r="F13" s="8" t="s">
        <v>15</v>
      </c>
      <c r="G13" s="15"/>
      <c r="H13" s="8" t="s">
        <v>16</v>
      </c>
      <c r="I13" s="8" t="s">
        <v>17</v>
      </c>
      <c r="J13" s="8" t="s">
        <v>18</v>
      </c>
      <c r="K13" s="55" t="s">
        <v>76</v>
      </c>
      <c r="L13" s="8" t="s">
        <v>41</v>
      </c>
    </row>
    <row r="15" spans="1:12" ht="12.75">
      <c r="A15" s="3">
        <v>39904</v>
      </c>
      <c r="B15" s="16">
        <v>555855984.28</v>
      </c>
      <c r="C15" s="16">
        <f aca="true" t="shared" si="0" ref="C15:C26">+B15-D15</f>
        <v>509196628.84999996</v>
      </c>
      <c r="D15" s="16">
        <v>46659355.43</v>
      </c>
      <c r="E15" s="17">
        <f>160020/30</f>
        <v>5334</v>
      </c>
      <c r="F15" s="16">
        <f>D15/E15/30</f>
        <v>291.5845233720785</v>
      </c>
      <c r="H15" s="16">
        <v>20530116.4</v>
      </c>
      <c r="I15" s="16">
        <v>15864180.84</v>
      </c>
      <c r="J15" s="16">
        <v>3732748.41</v>
      </c>
      <c r="K15" s="16">
        <v>4665935.55</v>
      </c>
      <c r="L15" s="16">
        <v>1866374.24</v>
      </c>
    </row>
    <row r="16" spans="1:12" ht="12.75">
      <c r="A16" s="3">
        <v>39934</v>
      </c>
      <c r="B16" s="16">
        <v>607836603.41</v>
      </c>
      <c r="C16" s="16">
        <f t="shared" si="0"/>
        <v>556667190.97</v>
      </c>
      <c r="D16" s="16">
        <v>51169412.44</v>
      </c>
      <c r="E16" s="17">
        <f>165234/31</f>
        <v>5330.129032258064</v>
      </c>
      <c r="F16" s="16">
        <f>D16/E16/31</f>
        <v>309.67847077477995</v>
      </c>
      <c r="H16" s="16">
        <v>23927692.21</v>
      </c>
      <c r="I16" s="16">
        <v>17397600.22</v>
      </c>
      <c r="J16" s="16">
        <v>4093553.01</v>
      </c>
      <c r="K16" s="16">
        <v>5116941.25</v>
      </c>
      <c r="L16" s="16">
        <v>633625.76</v>
      </c>
    </row>
    <row r="17" spans="1:12" ht="12.75">
      <c r="A17" s="3">
        <v>39965</v>
      </c>
      <c r="B17" s="16">
        <v>539627869.9</v>
      </c>
      <c r="C17" s="16">
        <f t="shared" si="0"/>
        <v>494465055.39</v>
      </c>
      <c r="D17" s="16">
        <v>45162814.51</v>
      </c>
      <c r="E17" s="17">
        <f>159300/30</f>
        <v>5310</v>
      </c>
      <c r="F17" s="16">
        <f>D17/E17/30</f>
        <v>283.507937915882</v>
      </c>
      <c r="H17" s="16">
        <v>21678150.97</v>
      </c>
      <c r="I17" s="16">
        <v>15355356.93</v>
      </c>
      <c r="J17" s="16">
        <v>3613025.2</v>
      </c>
      <c r="K17" s="16">
        <v>4516281.45</v>
      </c>
      <c r="L17" s="16">
        <v>0</v>
      </c>
    </row>
    <row r="18" spans="1:12" ht="12.75">
      <c r="A18" s="3">
        <v>39995</v>
      </c>
      <c r="B18" s="16">
        <v>556775418.09</v>
      </c>
      <c r="C18" s="16">
        <f t="shared" si="0"/>
        <v>509984135.88000005</v>
      </c>
      <c r="D18" s="16">
        <v>46791282.21</v>
      </c>
      <c r="E18" s="17">
        <f>164610/31</f>
        <v>5310</v>
      </c>
      <c r="F18" s="16">
        <f>D18/E18/31</f>
        <v>284.2554049571715</v>
      </c>
      <c r="H18" s="16">
        <v>22459815.47</v>
      </c>
      <c r="I18" s="16">
        <v>15909035.95</v>
      </c>
      <c r="J18" s="16">
        <v>3743302.59</v>
      </c>
      <c r="K18" s="16">
        <v>4679128.22</v>
      </c>
      <c r="L18" s="16">
        <v>0</v>
      </c>
    </row>
    <row r="19" spans="1:12" ht="12.75">
      <c r="A19" s="3">
        <v>40026</v>
      </c>
      <c r="B19" s="16">
        <v>568915280.93</v>
      </c>
      <c r="C19" s="16">
        <f t="shared" si="0"/>
        <v>520520442.06999993</v>
      </c>
      <c r="D19" s="16">
        <v>48394838.86</v>
      </c>
      <c r="E19" s="17">
        <f>164610/31</f>
        <v>5310</v>
      </c>
      <c r="F19" s="16">
        <f>D19/E19/31</f>
        <v>293.99695559200535</v>
      </c>
      <c r="H19" s="16">
        <v>23229522.65</v>
      </c>
      <c r="I19" s="16">
        <v>16454245.22</v>
      </c>
      <c r="J19" s="16">
        <v>3871587.13</v>
      </c>
      <c r="K19" s="16">
        <v>4839483.91</v>
      </c>
      <c r="L19" s="16">
        <v>0</v>
      </c>
    </row>
    <row r="20" spans="1:12" ht="12.75">
      <c r="A20" s="3">
        <v>40057</v>
      </c>
      <c r="B20" s="16">
        <v>527454304.26</v>
      </c>
      <c r="C20" s="16">
        <f t="shared" si="0"/>
        <v>482842559.73</v>
      </c>
      <c r="D20" s="16">
        <v>44611744.53</v>
      </c>
      <c r="E20" s="17">
        <f>159300/30</f>
        <v>5310</v>
      </c>
      <c r="F20" s="16">
        <f>D20/E20/30</f>
        <v>280.048616007533</v>
      </c>
      <c r="H20" s="16">
        <v>21413637.37</v>
      </c>
      <c r="I20" s="16">
        <v>15167993.14</v>
      </c>
      <c r="J20" s="16">
        <v>3568939.56</v>
      </c>
      <c r="K20" s="16">
        <v>4461174.5</v>
      </c>
      <c r="L20" s="16">
        <v>0</v>
      </c>
    </row>
    <row r="21" spans="1:12" ht="12.75">
      <c r="A21" s="3">
        <v>40087</v>
      </c>
      <c r="B21" s="16">
        <v>536009576.51</v>
      </c>
      <c r="C21" s="16">
        <f t="shared" si="0"/>
        <v>490712834.14</v>
      </c>
      <c r="D21" s="16">
        <v>45296742.37</v>
      </c>
      <c r="E21" s="17">
        <f>164610/31</f>
        <v>5310</v>
      </c>
      <c r="F21" s="16">
        <f>D21/E21/31</f>
        <v>275.17612763501603</v>
      </c>
      <c r="H21" s="16">
        <v>21742436.36</v>
      </c>
      <c r="I21" s="16">
        <v>15400892.41</v>
      </c>
      <c r="J21" s="16">
        <v>3623739.38</v>
      </c>
      <c r="K21" s="16">
        <v>4529674.25</v>
      </c>
      <c r="L21" s="16">
        <v>0</v>
      </c>
    </row>
    <row r="22" spans="1:12" ht="12.75">
      <c r="A22" s="3">
        <v>40118</v>
      </c>
      <c r="B22" s="16">
        <v>511301097.53</v>
      </c>
      <c r="C22" s="16">
        <f t="shared" si="0"/>
        <v>468477054.63</v>
      </c>
      <c r="D22" s="16">
        <v>42824042.9</v>
      </c>
      <c r="E22" s="17">
        <f>159300/30</f>
        <v>5310</v>
      </c>
      <c r="F22" s="16">
        <f>D22/E22/30</f>
        <v>268.82638355304454</v>
      </c>
      <c r="H22" s="16">
        <v>20555540.58</v>
      </c>
      <c r="I22" s="16">
        <v>14560174.59</v>
      </c>
      <c r="J22" s="16">
        <v>3425923.44</v>
      </c>
      <c r="K22" s="16">
        <v>4282404.3</v>
      </c>
      <c r="L22" s="16">
        <v>0</v>
      </c>
    </row>
    <row r="23" spans="1:12" ht="12.75">
      <c r="A23" s="3">
        <v>40148</v>
      </c>
      <c r="B23" s="16">
        <v>474055545.25</v>
      </c>
      <c r="C23" s="16">
        <f t="shared" si="0"/>
        <v>434119343.24</v>
      </c>
      <c r="D23" s="16">
        <v>39936202.01</v>
      </c>
      <c r="E23" s="17">
        <f>164610/31</f>
        <v>5310</v>
      </c>
      <c r="F23" s="16">
        <f>D23/E23/31</f>
        <v>242.61103219731484</v>
      </c>
      <c r="H23" s="16">
        <v>19169376.96</v>
      </c>
      <c r="I23" s="16">
        <v>13578308.69</v>
      </c>
      <c r="J23" s="16">
        <v>3194896.17</v>
      </c>
      <c r="K23" s="16">
        <v>3993620.2</v>
      </c>
      <c r="L23" s="16">
        <v>0</v>
      </c>
    </row>
    <row r="24" spans="1:12" ht="12.75">
      <c r="A24" s="3">
        <v>40179</v>
      </c>
      <c r="B24" s="16">
        <v>566291563.64</v>
      </c>
      <c r="C24" s="16">
        <f t="shared" si="0"/>
        <v>518816458.53</v>
      </c>
      <c r="D24" s="16">
        <v>47475105.11</v>
      </c>
      <c r="E24" s="17">
        <f>164610/31</f>
        <v>5310</v>
      </c>
      <c r="F24" s="16">
        <f>D24/E24/31</f>
        <v>288.4096051880202</v>
      </c>
      <c r="H24" s="16">
        <v>22788050.44</v>
      </c>
      <c r="I24" s="16">
        <v>16141535.72</v>
      </c>
      <c r="J24" s="16">
        <v>3798008.41</v>
      </c>
      <c r="K24" s="16">
        <v>4747510.52</v>
      </c>
      <c r="L24" s="16">
        <v>0</v>
      </c>
    </row>
    <row r="25" spans="1:12" ht="12.75">
      <c r="A25" s="3">
        <v>40210</v>
      </c>
      <c r="B25" s="16">
        <v>531634042.85</v>
      </c>
      <c r="C25" s="16">
        <f t="shared" si="0"/>
        <v>486639562.21000004</v>
      </c>
      <c r="D25" s="16">
        <v>44994480.64</v>
      </c>
      <c r="E25" s="17">
        <f>148680/28</f>
        <v>5310</v>
      </c>
      <c r="F25" s="16">
        <f>D25/E25/28</f>
        <v>302.62631584611245</v>
      </c>
      <c r="H25" s="16">
        <v>21597350.68</v>
      </c>
      <c r="I25" s="16">
        <v>15298123.42</v>
      </c>
      <c r="J25" s="16">
        <v>3599558.42</v>
      </c>
      <c r="K25" s="16">
        <v>4499448.08</v>
      </c>
      <c r="L25" s="16">
        <v>0</v>
      </c>
    </row>
    <row r="26" spans="1:12" ht="12.75">
      <c r="A26" s="3">
        <v>40238</v>
      </c>
      <c r="B26" s="16">
        <v>602204520.39</v>
      </c>
      <c r="C26" s="16">
        <f t="shared" si="0"/>
        <v>551327365.17</v>
      </c>
      <c r="D26" s="16">
        <v>50877155.22</v>
      </c>
      <c r="E26" s="17">
        <f>164610/31</f>
        <v>5310</v>
      </c>
      <c r="F26" s="16">
        <f>D26/E26/31</f>
        <v>309.0769407690906</v>
      </c>
      <c r="H26" s="16">
        <v>24421034.52</v>
      </c>
      <c r="I26" s="16">
        <v>17298232.77</v>
      </c>
      <c r="J26" s="16">
        <v>4070172.41</v>
      </c>
      <c r="K26" s="16">
        <v>5087715.55</v>
      </c>
      <c r="L26" s="16">
        <v>0</v>
      </c>
    </row>
    <row r="27" spans="1:12" ht="13.5" thickBot="1">
      <c r="A27" s="3" t="s">
        <v>19</v>
      </c>
      <c r="B27" s="18">
        <f>SUM(B15:B26)</f>
        <v>6577961807.040001</v>
      </c>
      <c r="C27" s="18">
        <f>SUM(C15:C26)</f>
        <v>6023768630.809999</v>
      </c>
      <c r="D27" s="18">
        <f>SUM(D15:D26)</f>
        <v>554193176.23</v>
      </c>
      <c r="H27" s="18">
        <f>SUM(H15:H26)</f>
        <v>263512724.61</v>
      </c>
      <c r="I27" s="18">
        <f>SUM(I15:I26)</f>
        <v>188425679.9</v>
      </c>
      <c r="J27" s="18">
        <f>SUM(J15:J26)</f>
        <v>44335454.129999995</v>
      </c>
      <c r="K27" s="18">
        <f>SUM(K15:K26)</f>
        <v>55419317.78</v>
      </c>
      <c r="L27" s="18">
        <f>SUM(L15:L26)</f>
        <v>2500000</v>
      </c>
    </row>
    <row r="28" spans="2:12" ht="10.5" customHeight="1" thickTop="1">
      <c r="B28" s="19"/>
      <c r="C28" s="19"/>
      <c r="D28" s="19"/>
      <c r="H28" s="19"/>
      <c r="I28" s="19"/>
      <c r="J28" s="19"/>
      <c r="K28" s="19"/>
      <c r="L28" s="19"/>
    </row>
    <row r="29" spans="1:12" s="22" customFormat="1" ht="12.75">
      <c r="A29" s="20"/>
      <c r="B29" s="21"/>
      <c r="C29" s="21">
        <f>C27/B27</f>
        <v>0.9157500161164084</v>
      </c>
      <c r="D29" s="21">
        <f>D27/B27</f>
        <v>0.08424998388359142</v>
      </c>
      <c r="H29" s="21">
        <f>H27/$D$27</f>
        <v>0.475488937634695</v>
      </c>
      <c r="I29" s="21">
        <f>I27/$D$27</f>
        <v>0.33999999996715946</v>
      </c>
      <c r="J29" s="21">
        <f>J27/$D$27</f>
        <v>0.08000000005701982</v>
      </c>
      <c r="K29" s="21">
        <f>K27/$D$27</f>
        <v>0.10000000028329471</v>
      </c>
      <c r="L29" s="21">
        <f>L27/$D$27</f>
        <v>0.0045110624006717386</v>
      </c>
    </row>
    <row r="31" spans="1:12" s="23" customFormat="1" ht="12.75">
      <c r="A31" s="135" t="s">
        <v>20</v>
      </c>
      <c r="B31" s="136"/>
      <c r="C31" s="136"/>
      <c r="D31" s="136"/>
      <c r="E31" s="136"/>
      <c r="F31" s="136"/>
      <c r="G31" s="136"/>
      <c r="H31" s="136"/>
      <c r="I31" s="136"/>
      <c r="J31" s="136"/>
      <c r="K31" s="136"/>
      <c r="L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2" s="45" customFormat="1" ht="6" customHeight="1">
      <c r="A35" s="41"/>
      <c r="B35" s="42"/>
      <c r="C35" s="43"/>
      <c r="D35" s="46"/>
      <c r="E35" s="43"/>
      <c r="F35" s="43"/>
      <c r="G35" s="43"/>
      <c r="H35" s="43"/>
      <c r="I35" s="42"/>
      <c r="J35" s="42"/>
      <c r="K35" s="42"/>
      <c r="L35" s="42"/>
    </row>
    <row r="36" spans="1:12" s="45" customFormat="1" ht="12.75">
      <c r="A36" s="41" t="s">
        <v>22</v>
      </c>
      <c r="B36" s="42"/>
      <c r="C36" s="43" t="s">
        <v>23</v>
      </c>
      <c r="D36" s="46"/>
      <c r="E36" s="43"/>
      <c r="F36" s="43"/>
      <c r="G36" s="43"/>
      <c r="H36" s="43"/>
      <c r="I36" s="42"/>
      <c r="J36" s="42"/>
      <c r="K36" s="42"/>
      <c r="L36" s="42"/>
    </row>
    <row r="37" spans="1:12" s="45" customFormat="1" ht="6" customHeight="1">
      <c r="A37" s="41"/>
      <c r="B37" s="42"/>
      <c r="C37" s="43"/>
      <c r="D37" s="46"/>
      <c r="E37" s="43"/>
      <c r="F37" s="43"/>
      <c r="G37" s="43"/>
      <c r="H37" s="43"/>
      <c r="I37" s="42"/>
      <c r="J37" s="42"/>
      <c r="K37" s="42"/>
      <c r="L37" s="42"/>
    </row>
    <row r="38" spans="1:12" s="45" customFormat="1" ht="12.75">
      <c r="A38" s="41" t="s">
        <v>24</v>
      </c>
      <c r="B38" s="42"/>
      <c r="C38" s="42" t="s">
        <v>54</v>
      </c>
      <c r="D38" s="46"/>
      <c r="E38" s="47"/>
      <c r="F38" s="42"/>
      <c r="G38" s="42"/>
      <c r="H38" s="42"/>
      <c r="I38" s="42"/>
      <c r="J38" s="42"/>
      <c r="K38" s="42"/>
      <c r="L38" s="42"/>
    </row>
    <row r="39" spans="1:12" s="45" customFormat="1" ht="12.75">
      <c r="A39" s="41"/>
      <c r="B39" s="42"/>
      <c r="C39" s="42" t="s">
        <v>55</v>
      </c>
      <c r="D39" s="46"/>
      <c r="E39" s="47"/>
      <c r="F39" s="42"/>
      <c r="G39" s="42"/>
      <c r="H39" s="42"/>
      <c r="I39" s="42"/>
      <c r="J39" s="42"/>
      <c r="K39" s="42"/>
      <c r="L39" s="42"/>
    </row>
    <row r="40" spans="1:12" s="45" customFormat="1" ht="6" customHeight="1">
      <c r="A40" s="41"/>
      <c r="B40" s="42"/>
      <c r="C40" s="42"/>
      <c r="D40" s="46"/>
      <c r="E40" s="47"/>
      <c r="F40" s="42"/>
      <c r="G40" s="42"/>
      <c r="H40" s="42"/>
      <c r="I40" s="42"/>
      <c r="J40" s="42"/>
      <c r="K40" s="42"/>
      <c r="L40" s="42"/>
    </row>
    <row r="41" spans="1:12" s="45" customFormat="1" ht="12.75">
      <c r="A41" s="41" t="s">
        <v>27</v>
      </c>
      <c r="B41" s="42"/>
      <c r="C41" s="42" t="s">
        <v>28</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2" s="45" customFormat="1" ht="6" customHeight="1">
      <c r="A46" s="41"/>
      <c r="B46" s="42"/>
      <c r="C46" s="42"/>
      <c r="D46" s="46"/>
      <c r="E46" s="47"/>
      <c r="F46" s="42"/>
      <c r="G46" s="42"/>
      <c r="H46" s="42"/>
      <c r="I46" s="42"/>
      <c r="J46" s="42"/>
      <c r="K46" s="42"/>
      <c r="L46" s="42"/>
    </row>
    <row r="47" spans="1:12" s="45" customFormat="1" ht="12.75">
      <c r="A47" s="41" t="s">
        <v>29</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2" s="45" customFormat="1" ht="6" customHeight="1">
      <c r="A49" s="41"/>
      <c r="B49" s="42"/>
      <c r="C49" s="42"/>
      <c r="D49" s="46"/>
      <c r="E49" s="47"/>
      <c r="F49" s="42"/>
      <c r="G49" s="42"/>
      <c r="H49" s="42"/>
      <c r="I49" s="42"/>
      <c r="J49" s="42"/>
      <c r="K49" s="42"/>
      <c r="L49" s="42"/>
    </row>
    <row r="50" spans="1:12" s="45" customFormat="1" ht="12.75">
      <c r="A50" s="41" t="s">
        <v>79</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2" s="45" customFormat="1" ht="6" customHeight="1">
      <c r="A52" s="49"/>
      <c r="B52" s="50"/>
      <c r="C52" s="50"/>
      <c r="D52" s="50"/>
      <c r="E52" s="51"/>
      <c r="F52" s="50"/>
      <c r="G52" s="50"/>
      <c r="H52" s="50"/>
      <c r="I52" s="50"/>
      <c r="J52" s="50"/>
      <c r="K52" s="50"/>
      <c r="L52" s="50"/>
    </row>
    <row r="53" spans="1:12" s="45" customFormat="1" ht="12.75">
      <c r="A53" s="41" t="s">
        <v>42</v>
      </c>
      <c r="B53" s="42"/>
      <c r="C53" s="42" t="s">
        <v>56</v>
      </c>
      <c r="D53" s="46"/>
      <c r="E53" s="47"/>
      <c r="F53" s="42"/>
      <c r="G53" s="42"/>
      <c r="H53" s="42"/>
      <c r="I53" s="42"/>
      <c r="J53" s="42"/>
      <c r="K53" s="42"/>
      <c r="L53" s="46"/>
    </row>
    <row r="54" spans="1:12" s="45" customFormat="1" ht="12.75">
      <c r="A54" s="48"/>
      <c r="B54" s="42"/>
      <c r="C54" s="42" t="s">
        <v>57</v>
      </c>
      <c r="D54" s="46"/>
      <c r="E54" s="47"/>
      <c r="F54" s="42"/>
      <c r="G54" s="42"/>
      <c r="H54" s="42"/>
      <c r="I54" s="42"/>
      <c r="J54" s="42"/>
      <c r="K54" s="42"/>
      <c r="L54" s="46"/>
    </row>
    <row r="55" spans="1:12" s="45" customFormat="1" ht="12.75">
      <c r="A55" s="48"/>
      <c r="B55" s="42"/>
      <c r="C55" s="42" t="s">
        <v>58</v>
      </c>
      <c r="D55" s="46"/>
      <c r="E55" s="47"/>
      <c r="F55" s="42"/>
      <c r="G55" s="42"/>
      <c r="H55" s="42"/>
      <c r="I55" s="42"/>
      <c r="J55" s="42"/>
      <c r="K55" s="42"/>
      <c r="L55" s="46"/>
    </row>
    <row r="56" spans="1:12" ht="12.75">
      <c r="A56" s="29"/>
      <c r="B56" s="30"/>
      <c r="C56" s="26"/>
      <c r="D56" s="30"/>
      <c r="E56" s="31"/>
      <c r="F56" s="30"/>
      <c r="G56" s="30"/>
      <c r="H56" s="30"/>
      <c r="I56" s="30"/>
      <c r="J56" s="30"/>
      <c r="K56" s="30"/>
      <c r="L56" s="30"/>
    </row>
    <row r="57" spans="1:12" ht="12.75">
      <c r="A57" s="135" t="s">
        <v>30</v>
      </c>
      <c r="B57" s="136"/>
      <c r="C57" s="136"/>
      <c r="D57" s="136"/>
      <c r="E57" s="136"/>
      <c r="F57" s="136"/>
      <c r="G57" s="136"/>
      <c r="H57" s="136"/>
      <c r="I57" s="136"/>
      <c r="J57" s="136"/>
      <c r="K57" s="136"/>
      <c r="L57" s="137"/>
    </row>
    <row r="58" ht="12.75">
      <c r="A58" s="24"/>
    </row>
    <row r="59" spans="1:12" ht="13.5">
      <c r="A59" s="32"/>
      <c r="F59" s="10" t="s">
        <v>8</v>
      </c>
      <c r="G59" s="33"/>
      <c r="H59" s="10" t="s">
        <v>74</v>
      </c>
      <c r="I59" s="10" t="s">
        <v>9</v>
      </c>
      <c r="J59" s="54" t="s">
        <v>75</v>
      </c>
      <c r="K59" s="10" t="s">
        <v>40</v>
      </c>
      <c r="L59" s="34"/>
    </row>
    <row r="60" spans="1:12" ht="12.75">
      <c r="A60" s="35"/>
      <c r="F60" s="8" t="s">
        <v>16</v>
      </c>
      <c r="G60" s="36"/>
      <c r="H60" s="8" t="s">
        <v>17</v>
      </c>
      <c r="I60" s="8" t="s">
        <v>18</v>
      </c>
      <c r="J60" s="55" t="s">
        <v>76</v>
      </c>
      <c r="K60" s="8" t="s">
        <v>41</v>
      </c>
      <c r="L60" s="34"/>
    </row>
    <row r="61" spans="2:12" ht="12.75">
      <c r="B61" s="138" t="s">
        <v>49</v>
      </c>
      <c r="C61" s="138"/>
      <c r="D61" s="26"/>
      <c r="E61" s="27"/>
      <c r="F61" s="38">
        <v>0.44</v>
      </c>
      <c r="G61" s="26"/>
      <c r="H61" s="38">
        <v>0.34</v>
      </c>
      <c r="I61" s="38">
        <v>0.08</v>
      </c>
      <c r="J61" s="38">
        <v>0.1</v>
      </c>
      <c r="K61" s="38">
        <v>0.04</v>
      </c>
      <c r="L61" s="39"/>
    </row>
    <row r="62" spans="2:12" ht="12.75">
      <c r="B62" s="138" t="s">
        <v>53</v>
      </c>
      <c r="C62" s="138"/>
      <c r="D62" s="26"/>
      <c r="E62" s="27"/>
      <c r="F62" s="38">
        <v>0.48</v>
      </c>
      <c r="G62" s="26"/>
      <c r="H62" s="38">
        <v>0.34</v>
      </c>
      <c r="I62" s="38">
        <v>0.08</v>
      </c>
      <c r="J62" s="38">
        <v>0.1</v>
      </c>
      <c r="K62" s="38">
        <v>0</v>
      </c>
      <c r="L62" s="39"/>
    </row>
    <row r="63" ht="12.75">
      <c r="A63" s="24"/>
    </row>
    <row r="64" spans="1:12" ht="13.5" customHeight="1">
      <c r="A64" s="130" t="s">
        <v>36</v>
      </c>
      <c r="B64" s="131"/>
      <c r="C64" s="131"/>
      <c r="D64" s="131"/>
      <c r="E64" s="131"/>
      <c r="F64" s="131"/>
      <c r="G64" s="131"/>
      <c r="H64" s="131"/>
      <c r="I64" s="131"/>
      <c r="J64" s="131"/>
      <c r="K64" s="131"/>
      <c r="L64" s="132"/>
    </row>
    <row r="65" spans="1:5" ht="12.75">
      <c r="A65" s="24"/>
      <c r="D65"/>
      <c r="E65" s="16"/>
    </row>
    <row r="66" spans="1:12" ht="53.25" customHeight="1">
      <c r="A66" s="133" t="s">
        <v>52</v>
      </c>
      <c r="B66" s="133"/>
      <c r="C66" s="133"/>
      <c r="D66" s="133"/>
      <c r="E66" s="133"/>
      <c r="F66" s="133"/>
      <c r="G66" s="133"/>
      <c r="H66" s="133"/>
      <c r="I66" s="133"/>
      <c r="J66" s="133"/>
      <c r="K66" s="133"/>
      <c r="L66" s="133"/>
    </row>
    <row r="67" spans="1:5" ht="12.75">
      <c r="A67" s="16"/>
      <c r="D67"/>
      <c r="E67" s="16"/>
    </row>
    <row r="68" spans="2:4" ht="12.75">
      <c r="B68" s="24" t="s">
        <v>37</v>
      </c>
      <c r="C68" s="24"/>
      <c r="D68" s="16">
        <v>19600000</v>
      </c>
    </row>
    <row r="69" spans="2:3" ht="12.75">
      <c r="B69" s="24"/>
      <c r="C69" s="24"/>
    </row>
    <row r="71" ht="12.75">
      <c r="A71" s="24" t="s">
        <v>35</v>
      </c>
    </row>
  </sheetData>
  <sheetProtection/>
  <mergeCells count="13">
    <mergeCell ref="A1:L1"/>
    <mergeCell ref="A5:L5"/>
    <mergeCell ref="H10:L10"/>
    <mergeCell ref="A8:L8"/>
    <mergeCell ref="A4:L4"/>
    <mergeCell ref="A3:L3"/>
    <mergeCell ref="A57:L57"/>
    <mergeCell ref="A66:L66"/>
    <mergeCell ref="A64:L64"/>
    <mergeCell ref="A2:L2"/>
    <mergeCell ref="A31:L31"/>
    <mergeCell ref="B61:C61"/>
    <mergeCell ref="B62:C62"/>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4">
      <selection activeCell="D28" sqref="D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3.7109375" style="16" customWidth="1"/>
    <col min="12" max="12" width="14.140625" style="16" customWidth="1"/>
    <col min="13" max="13" width="12.7109375" style="0" customWidth="1"/>
  </cols>
  <sheetData>
    <row r="1" spans="1:12" ht="18">
      <c r="A1" s="139" t="s">
        <v>50</v>
      </c>
      <c r="B1" s="139"/>
      <c r="C1" s="139"/>
      <c r="D1" s="139"/>
      <c r="E1" s="139"/>
      <c r="F1" s="139"/>
      <c r="G1" s="139"/>
      <c r="H1" s="139"/>
      <c r="I1" s="139"/>
      <c r="J1" s="139"/>
      <c r="K1" s="139"/>
      <c r="L1" s="139"/>
    </row>
    <row r="2" spans="1:12" ht="15">
      <c r="A2" s="140" t="s">
        <v>0</v>
      </c>
      <c r="B2" s="140"/>
      <c r="C2" s="140"/>
      <c r="D2" s="140"/>
      <c r="E2" s="140"/>
      <c r="F2" s="140"/>
      <c r="G2" s="140"/>
      <c r="H2" s="140"/>
      <c r="I2" s="140"/>
      <c r="J2" s="140"/>
      <c r="K2" s="140"/>
      <c r="L2" s="140"/>
    </row>
    <row r="3" spans="1:12" s="1" customFormat="1" ht="15">
      <c r="A3" s="140" t="s">
        <v>1</v>
      </c>
      <c r="B3" s="140"/>
      <c r="C3" s="140"/>
      <c r="D3" s="140"/>
      <c r="E3" s="140"/>
      <c r="F3" s="140"/>
      <c r="G3" s="140"/>
      <c r="H3" s="140"/>
      <c r="I3" s="140"/>
      <c r="J3" s="140"/>
      <c r="K3" s="140"/>
      <c r="L3" s="140"/>
    </row>
    <row r="4" spans="1:12" s="1" customFormat="1" ht="14.25">
      <c r="A4" s="125" t="s">
        <v>2</v>
      </c>
      <c r="B4" s="125"/>
      <c r="C4" s="125"/>
      <c r="D4" s="125"/>
      <c r="E4" s="125"/>
      <c r="F4" s="125"/>
      <c r="G4" s="125"/>
      <c r="H4" s="125"/>
      <c r="I4" s="125"/>
      <c r="J4" s="125"/>
      <c r="K4" s="125"/>
      <c r="L4" s="125"/>
    </row>
    <row r="5" spans="1:12" s="1" customFormat="1" ht="14.25">
      <c r="A5" s="141" t="s">
        <v>3</v>
      </c>
      <c r="B5" s="141"/>
      <c r="C5" s="141"/>
      <c r="D5" s="141"/>
      <c r="E5" s="141"/>
      <c r="F5" s="141"/>
      <c r="G5" s="141"/>
      <c r="H5" s="141"/>
      <c r="I5" s="141"/>
      <c r="J5" s="141"/>
      <c r="K5" s="141"/>
      <c r="L5" s="141"/>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35" t="s">
        <v>39</v>
      </c>
      <c r="B8" s="136"/>
      <c r="C8" s="136"/>
      <c r="D8" s="136"/>
      <c r="E8" s="136"/>
      <c r="F8" s="136"/>
      <c r="G8" s="136"/>
      <c r="H8" s="136"/>
      <c r="I8" s="136"/>
      <c r="J8" s="136"/>
      <c r="K8" s="136"/>
      <c r="L8" s="137"/>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34" t="s">
        <v>4</v>
      </c>
      <c r="I10" s="134"/>
      <c r="J10" s="134"/>
      <c r="K10" s="134"/>
      <c r="L10" s="134"/>
    </row>
    <row r="11" spans="1:12" s="1" customFormat="1" ht="7.5" customHeight="1">
      <c r="A11" s="3"/>
      <c r="B11" s="5"/>
      <c r="C11" s="5"/>
      <c r="D11" s="5"/>
      <c r="E11" s="6"/>
      <c r="F11" s="5"/>
      <c r="G11" s="5"/>
      <c r="H11" s="5"/>
      <c r="I11" s="5"/>
      <c r="J11" s="5"/>
      <c r="K11" s="5"/>
      <c r="L11" s="5"/>
    </row>
    <row r="12" spans="1:12" s="12" customFormat="1" ht="12">
      <c r="A12" s="9"/>
      <c r="B12" s="10" t="s">
        <v>5</v>
      </c>
      <c r="C12" s="10" t="s">
        <v>5</v>
      </c>
      <c r="D12" s="10"/>
      <c r="E12" s="11" t="s">
        <v>6</v>
      </c>
      <c r="F12" s="10" t="s">
        <v>7</v>
      </c>
      <c r="G12" s="10"/>
      <c r="H12" s="10" t="s">
        <v>8</v>
      </c>
      <c r="I12" s="10" t="s">
        <v>74</v>
      </c>
      <c r="J12" s="10" t="s">
        <v>9</v>
      </c>
      <c r="K12" s="54" t="s">
        <v>75</v>
      </c>
      <c r="L12" s="10" t="s">
        <v>40</v>
      </c>
    </row>
    <row r="13" spans="1:12" s="12" customFormat="1" ht="12">
      <c r="A13" s="13" t="s">
        <v>10</v>
      </c>
      <c r="B13" s="8" t="s">
        <v>11</v>
      </c>
      <c r="C13" s="8" t="s">
        <v>12</v>
      </c>
      <c r="D13" s="8" t="s">
        <v>13</v>
      </c>
      <c r="E13" s="14" t="s">
        <v>14</v>
      </c>
      <c r="F13" s="8" t="s">
        <v>15</v>
      </c>
      <c r="G13" s="15"/>
      <c r="H13" s="8" t="s">
        <v>16</v>
      </c>
      <c r="I13" s="8" t="s">
        <v>17</v>
      </c>
      <c r="J13" s="8" t="s">
        <v>18</v>
      </c>
      <c r="K13" s="55" t="s">
        <v>76</v>
      </c>
      <c r="L13" s="8" t="s">
        <v>41</v>
      </c>
    </row>
    <row r="15" spans="1:12" ht="12.75">
      <c r="A15" s="3">
        <v>39539</v>
      </c>
      <c r="B15" s="16">
        <v>497640094.8</v>
      </c>
      <c r="C15" s="16">
        <f aca="true" t="shared" si="0" ref="C15:C26">B15-D15</f>
        <v>456539236.52</v>
      </c>
      <c r="D15" s="16">
        <v>41100858.28</v>
      </c>
      <c r="E15" s="17">
        <f>160410/30</f>
        <v>5347</v>
      </c>
      <c r="F15" s="16">
        <f>D15/E15/30</f>
        <v>256.2237907861106</v>
      </c>
      <c r="H15" s="16">
        <v>18084377.65</v>
      </c>
      <c r="I15" s="16">
        <v>13974291.8</v>
      </c>
      <c r="J15" s="16">
        <v>3288068.66</v>
      </c>
      <c r="K15" s="16">
        <v>4110085.84</v>
      </c>
      <c r="L15" s="16">
        <v>1644034.35</v>
      </c>
    </row>
    <row r="16" spans="1:12" ht="12.75">
      <c r="A16" s="3">
        <v>39569</v>
      </c>
      <c r="B16" s="16">
        <v>561848054.18</v>
      </c>
      <c r="C16" s="16">
        <f t="shared" si="0"/>
        <v>516562103.61999995</v>
      </c>
      <c r="D16" s="16">
        <v>45285950.56</v>
      </c>
      <c r="E16" s="17">
        <f>165757/31</f>
        <v>5347</v>
      </c>
      <c r="F16" s="16">
        <f>D16/E16/31</f>
        <v>273.2068664370132</v>
      </c>
      <c r="H16" s="16">
        <v>20881290.66</v>
      </c>
      <c r="I16" s="16">
        <v>15397223.18</v>
      </c>
      <c r="J16" s="16">
        <v>3622876.04</v>
      </c>
      <c r="K16" s="16">
        <v>4528595.06</v>
      </c>
      <c r="L16" s="16">
        <v>855965.65</v>
      </c>
    </row>
    <row r="17" spans="1:12" ht="12.75">
      <c r="A17" s="3">
        <v>39600</v>
      </c>
      <c r="B17" s="16">
        <v>498274159.83</v>
      </c>
      <c r="C17" s="16">
        <f t="shared" si="0"/>
        <v>457609423.01</v>
      </c>
      <c r="D17" s="16">
        <v>40664736.82</v>
      </c>
      <c r="E17" s="17">
        <f>160158/30</f>
        <v>5338.6</v>
      </c>
      <c r="F17" s="16">
        <f>D17/E17/30</f>
        <v>253.9038750483897</v>
      </c>
      <c r="H17" s="16">
        <v>19519073.7</v>
      </c>
      <c r="I17" s="16">
        <v>13826010.52</v>
      </c>
      <c r="J17" s="16">
        <v>3253178.94</v>
      </c>
      <c r="K17" s="16">
        <v>4066473.68</v>
      </c>
      <c r="L17" s="16">
        <v>0</v>
      </c>
    </row>
    <row r="18" spans="1:12" ht="12.75">
      <c r="A18" s="3">
        <v>39630</v>
      </c>
      <c r="B18" s="16">
        <v>543885866.28</v>
      </c>
      <c r="C18" s="16">
        <f t="shared" si="0"/>
        <v>499637366.95</v>
      </c>
      <c r="D18" s="16">
        <v>44248499.33</v>
      </c>
      <c r="E18" s="17">
        <f>165249/31</f>
        <v>5330.612903225807</v>
      </c>
      <c r="F18" s="16">
        <f>D18/E18/31</f>
        <v>267.7686359977973</v>
      </c>
      <c r="H18" s="16">
        <v>21239279.67</v>
      </c>
      <c r="I18" s="16">
        <v>15044489.78</v>
      </c>
      <c r="J18" s="16">
        <v>3539879.97</v>
      </c>
      <c r="K18" s="16">
        <v>4424849.97</v>
      </c>
      <c r="L18" s="16">
        <v>0</v>
      </c>
    </row>
    <row r="19" spans="1:12" ht="12.75">
      <c r="A19" s="3">
        <v>39661</v>
      </c>
      <c r="B19" s="16">
        <v>561050821.4</v>
      </c>
      <c r="C19" s="16">
        <f t="shared" si="0"/>
        <v>515796552.04999995</v>
      </c>
      <c r="D19" s="16">
        <v>45254269.35</v>
      </c>
      <c r="E19" s="17">
        <f>165354/31</f>
        <v>5334</v>
      </c>
      <c r="F19" s="16">
        <f>D19/E19/31</f>
        <v>273.6811286694002</v>
      </c>
      <c r="H19" s="16">
        <v>21722049.26</v>
      </c>
      <c r="I19" s="16">
        <v>15386451.6</v>
      </c>
      <c r="J19" s="16">
        <v>3620341.53</v>
      </c>
      <c r="K19" s="16">
        <v>4525426.94</v>
      </c>
      <c r="L19" s="16">
        <v>0</v>
      </c>
    </row>
    <row r="20" spans="1:12" ht="12.75">
      <c r="A20" s="3">
        <v>39692</v>
      </c>
      <c r="B20" s="16">
        <v>471821924.2</v>
      </c>
      <c r="C20" s="16">
        <f t="shared" si="0"/>
        <v>433091536.11</v>
      </c>
      <c r="D20" s="16">
        <v>38730388.09</v>
      </c>
      <c r="E20" s="17">
        <f>160020/30</f>
        <v>5334</v>
      </c>
      <c r="F20" s="16">
        <f>D20/E20/30</f>
        <v>242.03467122859644</v>
      </c>
      <c r="H20" s="16">
        <v>18590586.29</v>
      </c>
      <c r="I20" s="16">
        <v>13168331.95</v>
      </c>
      <c r="J20" s="16">
        <v>3098431.02</v>
      </c>
      <c r="K20" s="16">
        <v>3873038.8</v>
      </c>
      <c r="L20" s="16">
        <v>0</v>
      </c>
    </row>
    <row r="21" spans="1:12" ht="12.75">
      <c r="A21" s="3">
        <v>39722</v>
      </c>
      <c r="B21" s="16">
        <v>487328857.74</v>
      </c>
      <c r="C21" s="16">
        <f t="shared" si="0"/>
        <v>447586641.11</v>
      </c>
      <c r="D21" s="16">
        <v>39742216.63</v>
      </c>
      <c r="E21" s="17">
        <f>165354/31</f>
        <v>5334</v>
      </c>
      <c r="F21" s="16">
        <f>D21/E21/31</f>
        <v>240.34626697872443</v>
      </c>
      <c r="H21" s="16">
        <v>19076263.97</v>
      </c>
      <c r="I21" s="16">
        <v>13512353.68</v>
      </c>
      <c r="J21" s="16">
        <v>3179377.32</v>
      </c>
      <c r="K21" s="16">
        <v>3974221.75</v>
      </c>
      <c r="L21" s="16">
        <v>0</v>
      </c>
    </row>
    <row r="22" spans="1:12" ht="12.75">
      <c r="A22" s="3">
        <v>39753</v>
      </c>
      <c r="B22" s="16">
        <v>469071019.76</v>
      </c>
      <c r="C22" s="16">
        <f t="shared" si="0"/>
        <v>430212083.78999996</v>
      </c>
      <c r="D22" s="16">
        <v>38858935.97</v>
      </c>
      <c r="E22" s="17">
        <f>160020/30</f>
        <v>5334</v>
      </c>
      <c r="F22" s="16">
        <f>D22/E22/30</f>
        <v>242.8379950631171</v>
      </c>
      <c r="H22" s="16">
        <v>18652289.26</v>
      </c>
      <c r="I22" s="16">
        <v>13212038.2</v>
      </c>
      <c r="J22" s="16">
        <v>3108714.89</v>
      </c>
      <c r="K22" s="16">
        <v>3885893.59</v>
      </c>
      <c r="L22" s="16">
        <v>0</v>
      </c>
    </row>
    <row r="23" spans="1:12" ht="12.75">
      <c r="A23" s="3">
        <v>39783</v>
      </c>
      <c r="B23" s="16">
        <v>424389737.7</v>
      </c>
      <c r="C23" s="16">
        <f t="shared" si="0"/>
        <v>389370478.2</v>
      </c>
      <c r="D23" s="16">
        <v>35019259.5</v>
      </c>
      <c r="E23" s="17">
        <f>165354/31</f>
        <v>5334</v>
      </c>
      <c r="F23" s="16">
        <f>D23/E23/31</f>
        <v>211.783564352843</v>
      </c>
      <c r="H23" s="16">
        <v>16809244.54</v>
      </c>
      <c r="I23" s="16">
        <v>11906548.24</v>
      </c>
      <c r="J23" s="16">
        <v>2801540.77</v>
      </c>
      <c r="K23" s="16">
        <v>3501925.96</v>
      </c>
      <c r="L23" s="16">
        <v>0</v>
      </c>
    </row>
    <row r="24" spans="1:12" ht="12.75">
      <c r="A24" s="3">
        <v>39814</v>
      </c>
      <c r="B24" s="16">
        <v>480810880.67</v>
      </c>
      <c r="C24" s="16">
        <f t="shared" si="0"/>
        <v>441356953.98</v>
      </c>
      <c r="D24" s="16">
        <v>39453926.69</v>
      </c>
      <c r="E24" s="17">
        <f>165354/31</f>
        <v>5334</v>
      </c>
      <c r="F24" s="16">
        <f>D24/E24/31</f>
        <v>238.602795759401</v>
      </c>
      <c r="H24" s="16">
        <v>18937884.79</v>
      </c>
      <c r="I24" s="16">
        <v>13414335.08</v>
      </c>
      <c r="J24" s="16">
        <v>3156314.13</v>
      </c>
      <c r="K24" s="16">
        <v>3945392.69</v>
      </c>
      <c r="L24" s="16">
        <v>0</v>
      </c>
    </row>
    <row r="25" spans="1:12" ht="12.75">
      <c r="A25" s="3">
        <v>39845</v>
      </c>
      <c r="B25" s="16">
        <v>516481208.64</v>
      </c>
      <c r="C25" s="16">
        <f t="shared" si="0"/>
        <v>473194572.11</v>
      </c>
      <c r="D25" s="16">
        <v>43286636.53</v>
      </c>
      <c r="E25" s="17">
        <f>149352/28</f>
        <v>5334</v>
      </c>
      <c r="F25" s="16">
        <f>D25/E25/28</f>
        <v>289.8296409154213</v>
      </c>
      <c r="H25" s="16">
        <v>20777585.55</v>
      </c>
      <c r="I25" s="16">
        <v>14717456.43</v>
      </c>
      <c r="J25" s="16">
        <v>3462930.9</v>
      </c>
      <c r="K25" s="16">
        <v>4328663.66</v>
      </c>
      <c r="L25" s="16">
        <v>0</v>
      </c>
    </row>
    <row r="26" spans="1:12" ht="12.75">
      <c r="A26" s="3">
        <v>39873</v>
      </c>
      <c r="B26" s="16">
        <v>566262092</v>
      </c>
      <c r="C26" s="16">
        <f t="shared" si="0"/>
        <v>519353162.17</v>
      </c>
      <c r="D26" s="16">
        <v>46908929.83</v>
      </c>
      <c r="E26" s="17">
        <f>165354/31</f>
        <v>5334</v>
      </c>
      <c r="F26" s="16">
        <f>D26/E26/31</f>
        <v>283.68790491914314</v>
      </c>
      <c r="H26" s="16">
        <v>22516286.29</v>
      </c>
      <c r="I26" s="16">
        <v>15949036.14</v>
      </c>
      <c r="J26" s="16">
        <v>3752714.38</v>
      </c>
      <c r="K26" s="16">
        <v>4690893</v>
      </c>
      <c r="L26" s="16">
        <v>0</v>
      </c>
    </row>
    <row r="27" spans="1:12" ht="13.5" thickBot="1">
      <c r="A27" s="3" t="s">
        <v>19</v>
      </c>
      <c r="B27" s="18">
        <f>SUM(B15:B26)</f>
        <v>6078864717.2</v>
      </c>
      <c r="C27" s="18">
        <f>SUM(C15:C26)</f>
        <v>5580310109.62</v>
      </c>
      <c r="D27" s="18">
        <f>SUM(D15:D26)</f>
        <v>498554607.58</v>
      </c>
      <c r="H27" s="18">
        <f>SUM(H15:H26)</f>
        <v>236806211.63</v>
      </c>
      <c r="I27" s="18">
        <f>SUM(I15:I26)</f>
        <v>169508566.60000002</v>
      </c>
      <c r="J27" s="18">
        <f>SUM(J15:J26)</f>
        <v>39884368.550000004</v>
      </c>
      <c r="K27" s="18">
        <f>SUM(K15:K26)</f>
        <v>49855460.94</v>
      </c>
      <c r="L27" s="18">
        <f>SUM(L15:L26)</f>
        <v>2500000</v>
      </c>
    </row>
    <row r="28" spans="2:12" ht="10.5" customHeight="1" thickTop="1">
      <c r="B28" s="19"/>
      <c r="C28" s="19"/>
      <c r="D28" s="19"/>
      <c r="H28" s="19"/>
      <c r="I28" s="19"/>
      <c r="J28" s="19"/>
      <c r="K28" s="19"/>
      <c r="L28" s="19"/>
    </row>
    <row r="29" spans="1:12" s="22" customFormat="1" ht="12.75">
      <c r="A29" s="20"/>
      <c r="B29" s="21"/>
      <c r="C29" s="21">
        <f>C27/B27</f>
        <v>0.9179855728374162</v>
      </c>
      <c r="D29" s="21">
        <f>D27/B27</f>
        <v>0.08201442716258381</v>
      </c>
      <c r="H29" s="21">
        <f>H27/$D$27</f>
        <v>0.47498550415463</v>
      </c>
      <c r="I29" s="21">
        <f>I27/$D$27</f>
        <v>0.3400000000457323</v>
      </c>
      <c r="J29" s="21">
        <f>J27/$D$27</f>
        <v>0.07999999988687298</v>
      </c>
      <c r="K29" s="21">
        <f>K27/$D$27</f>
        <v>0.1000000003650553</v>
      </c>
      <c r="L29" s="21">
        <f>L27/$D$27</f>
        <v>0.005014495828521333</v>
      </c>
    </row>
    <row r="31" spans="1:12" s="23" customFormat="1" ht="12.75">
      <c r="A31" s="135" t="s">
        <v>20</v>
      </c>
      <c r="B31" s="136"/>
      <c r="C31" s="136"/>
      <c r="D31" s="136"/>
      <c r="E31" s="136"/>
      <c r="F31" s="136"/>
      <c r="G31" s="136"/>
      <c r="H31" s="136"/>
      <c r="I31" s="136"/>
      <c r="J31" s="136"/>
      <c r="K31" s="136"/>
      <c r="L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2" s="45" customFormat="1" ht="12.75" customHeight="1">
      <c r="A35" s="41"/>
      <c r="B35" s="42"/>
      <c r="C35" s="43"/>
      <c r="D35" s="44"/>
      <c r="E35" s="44"/>
      <c r="F35" s="44"/>
      <c r="G35" s="44"/>
      <c r="H35" s="44"/>
      <c r="I35" s="44"/>
      <c r="J35" s="44"/>
      <c r="K35" s="44"/>
      <c r="L35" s="44"/>
    </row>
    <row r="36" spans="1:12" ht="12.75">
      <c r="A36" s="25" t="s">
        <v>22</v>
      </c>
      <c r="B36" s="26"/>
      <c r="C36" s="26" t="s">
        <v>23</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24</v>
      </c>
      <c r="B38" s="26"/>
      <c r="C38" s="26" t="s">
        <v>44</v>
      </c>
      <c r="E38" s="27"/>
      <c r="F38" s="26"/>
      <c r="G38" s="26"/>
      <c r="H38" s="26"/>
      <c r="I38" s="26"/>
      <c r="J38" s="26"/>
      <c r="K38" s="26"/>
      <c r="L38" s="26"/>
    </row>
    <row r="39" spans="1:12" ht="12.75">
      <c r="A39" s="25"/>
      <c r="B39" s="26"/>
      <c r="C39" s="26" t="s">
        <v>45</v>
      </c>
      <c r="E39" s="27"/>
      <c r="F39" s="26"/>
      <c r="G39" s="26"/>
      <c r="H39" s="26"/>
      <c r="I39" s="26"/>
      <c r="J39" s="26"/>
      <c r="K39" s="26"/>
      <c r="L39" s="26"/>
    </row>
    <row r="40" spans="1:12" ht="6" customHeight="1">
      <c r="A40" s="25"/>
      <c r="B40" s="26"/>
      <c r="C40" s="26"/>
      <c r="E40" s="27"/>
      <c r="F40" s="26"/>
      <c r="G40" s="26"/>
      <c r="H40" s="26"/>
      <c r="I40" s="26"/>
      <c r="J40" s="26"/>
      <c r="K40" s="26"/>
      <c r="L40" s="26"/>
    </row>
    <row r="41" spans="1:12" ht="12.75">
      <c r="A41" s="25" t="s">
        <v>27</v>
      </c>
      <c r="B41" s="26"/>
      <c r="C41" s="26" t="s">
        <v>28</v>
      </c>
      <c r="E41" s="27"/>
      <c r="F41" s="26"/>
      <c r="G41" s="26"/>
      <c r="H41" s="26"/>
      <c r="I41" s="26"/>
      <c r="J41" s="26"/>
      <c r="K41" s="26"/>
      <c r="L41" s="26"/>
    </row>
    <row r="42" spans="1:12" ht="6" customHeight="1">
      <c r="A42" s="25"/>
      <c r="B42" s="26"/>
      <c r="C42" s="26"/>
      <c r="E42" s="27"/>
      <c r="F42" s="26"/>
      <c r="G42" s="26"/>
      <c r="H42" s="26"/>
      <c r="I42" s="26"/>
      <c r="J42" s="26"/>
      <c r="K42" s="26"/>
      <c r="L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2" ht="6" customHeight="1">
      <c r="A46" s="25"/>
      <c r="B46" s="26"/>
      <c r="C46" s="26"/>
      <c r="E46" s="27"/>
      <c r="F46" s="26"/>
      <c r="G46" s="26"/>
      <c r="H46" s="26"/>
      <c r="I46" s="26"/>
      <c r="J46" s="26"/>
      <c r="K46" s="26"/>
      <c r="L46" s="26"/>
    </row>
    <row r="47" spans="1:12" s="45" customFormat="1" ht="12.75">
      <c r="A47" s="41" t="s">
        <v>29</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2" ht="6" customHeight="1">
      <c r="A49" s="25"/>
      <c r="B49" s="26"/>
      <c r="C49" s="26"/>
      <c r="E49" s="27"/>
      <c r="F49" s="26"/>
      <c r="G49" s="26"/>
      <c r="H49" s="26"/>
      <c r="I49" s="26"/>
      <c r="J49" s="26"/>
      <c r="K49" s="26"/>
      <c r="L49" s="26"/>
    </row>
    <row r="50" spans="1:12" s="45" customFormat="1" ht="12.75">
      <c r="A50" s="41" t="s">
        <v>79</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2" ht="6" customHeight="1">
      <c r="A52" s="28"/>
      <c r="B52" s="26"/>
      <c r="C52" s="26"/>
      <c r="E52" s="27"/>
      <c r="F52" s="26"/>
      <c r="G52" s="26"/>
      <c r="H52" s="26"/>
      <c r="I52" s="26"/>
      <c r="J52" s="26"/>
      <c r="K52" s="26"/>
      <c r="L52" s="26"/>
    </row>
    <row r="53" spans="1:11" ht="12.75">
      <c r="A53" s="25" t="s">
        <v>42</v>
      </c>
      <c r="B53" s="26"/>
      <c r="C53" s="26" t="s">
        <v>43</v>
      </c>
      <c r="E53" s="27"/>
      <c r="F53" s="26"/>
      <c r="G53" s="26"/>
      <c r="H53" s="26"/>
      <c r="I53" s="26"/>
      <c r="J53" s="26"/>
      <c r="K53" s="26"/>
    </row>
    <row r="54" spans="1:11" ht="12.75">
      <c r="A54" s="28"/>
      <c r="B54" s="26"/>
      <c r="C54" s="26" t="s">
        <v>46</v>
      </c>
      <c r="E54" s="27"/>
      <c r="F54" s="26"/>
      <c r="G54" s="26"/>
      <c r="H54" s="26"/>
      <c r="I54" s="26"/>
      <c r="J54" s="26"/>
      <c r="K54" s="26"/>
    </row>
    <row r="55" spans="1:12" ht="12.75">
      <c r="A55" s="29"/>
      <c r="B55" s="30"/>
      <c r="C55" s="26" t="s">
        <v>47</v>
      </c>
      <c r="D55" s="30"/>
      <c r="E55" s="31"/>
      <c r="F55" s="30"/>
      <c r="G55" s="30"/>
      <c r="H55" s="30"/>
      <c r="I55" s="30"/>
      <c r="J55" s="30"/>
      <c r="K55" s="30"/>
      <c r="L55" s="30"/>
    </row>
    <row r="56" spans="1:12" ht="12.75">
      <c r="A56" s="29"/>
      <c r="B56" s="30"/>
      <c r="C56" s="26"/>
      <c r="D56" s="30"/>
      <c r="E56" s="31"/>
      <c r="F56" s="30"/>
      <c r="G56" s="30"/>
      <c r="H56" s="30"/>
      <c r="I56" s="30"/>
      <c r="J56" s="30"/>
      <c r="K56" s="30"/>
      <c r="L56" s="30"/>
    </row>
    <row r="57" spans="1:12" ht="12.75">
      <c r="A57" s="135" t="s">
        <v>30</v>
      </c>
      <c r="B57" s="136"/>
      <c r="C57" s="136"/>
      <c r="D57" s="136"/>
      <c r="E57" s="136"/>
      <c r="F57" s="136"/>
      <c r="G57" s="136"/>
      <c r="H57" s="136"/>
      <c r="I57" s="136"/>
      <c r="J57" s="136"/>
      <c r="K57" s="136"/>
      <c r="L57" s="137"/>
    </row>
    <row r="58" ht="12.75">
      <c r="A58" s="24"/>
    </row>
    <row r="59" spans="1:12" ht="13.5">
      <c r="A59" s="32"/>
      <c r="F59" s="10" t="s">
        <v>8</v>
      </c>
      <c r="G59" s="33"/>
      <c r="H59" s="10" t="s">
        <v>74</v>
      </c>
      <c r="I59" s="10" t="s">
        <v>9</v>
      </c>
      <c r="J59" s="54" t="s">
        <v>75</v>
      </c>
      <c r="K59" s="10" t="s">
        <v>40</v>
      </c>
      <c r="L59" s="34"/>
    </row>
    <row r="60" spans="1:12" ht="12.75">
      <c r="A60" s="35"/>
      <c r="F60" s="8" t="s">
        <v>16</v>
      </c>
      <c r="G60" s="36"/>
      <c r="H60" s="8" t="s">
        <v>17</v>
      </c>
      <c r="I60" s="8" t="s">
        <v>18</v>
      </c>
      <c r="J60" s="55" t="s">
        <v>76</v>
      </c>
      <c r="K60" s="8" t="s">
        <v>41</v>
      </c>
      <c r="L60" s="34"/>
    </row>
    <row r="61" spans="2:12" ht="12.75">
      <c r="B61" s="138" t="s">
        <v>49</v>
      </c>
      <c r="C61" s="138"/>
      <c r="D61" s="26"/>
      <c r="E61" s="27"/>
      <c r="F61" s="38">
        <v>0.44</v>
      </c>
      <c r="G61" s="26"/>
      <c r="H61" s="38">
        <v>0.34</v>
      </c>
      <c r="I61" s="38">
        <v>0.08</v>
      </c>
      <c r="J61" s="38">
        <v>0.1</v>
      </c>
      <c r="K61" s="38">
        <v>0.04</v>
      </c>
      <c r="L61" s="39"/>
    </row>
    <row r="62" spans="2:12" ht="12.75">
      <c r="B62" s="138" t="s">
        <v>53</v>
      </c>
      <c r="C62" s="138"/>
      <c r="D62" s="138"/>
      <c r="E62" s="27"/>
      <c r="F62" s="38">
        <v>0.48</v>
      </c>
      <c r="G62" s="26"/>
      <c r="H62" s="38">
        <v>0.34</v>
      </c>
      <c r="I62" s="38">
        <v>0.08</v>
      </c>
      <c r="J62" s="38">
        <v>0.1</v>
      </c>
      <c r="K62" s="38">
        <v>0</v>
      </c>
      <c r="L62" s="39"/>
    </row>
    <row r="63" ht="12.75">
      <c r="A63" s="24"/>
    </row>
    <row r="64" spans="1:12" ht="13.5" customHeight="1">
      <c r="A64" s="130" t="s">
        <v>36</v>
      </c>
      <c r="B64" s="131"/>
      <c r="C64" s="131"/>
      <c r="D64" s="131"/>
      <c r="E64" s="131"/>
      <c r="F64" s="131"/>
      <c r="G64" s="131"/>
      <c r="H64" s="131"/>
      <c r="I64" s="131"/>
      <c r="J64" s="131"/>
      <c r="K64" s="131"/>
      <c r="L64" s="132"/>
    </row>
    <row r="65" spans="1:5" ht="12.75">
      <c r="A65" s="24"/>
      <c r="D65"/>
      <c r="E65" s="16"/>
    </row>
    <row r="66" spans="1:12" ht="54" customHeight="1">
      <c r="A66" s="133" t="s">
        <v>48</v>
      </c>
      <c r="B66" s="133"/>
      <c r="C66" s="133"/>
      <c r="D66" s="133"/>
      <c r="E66" s="133"/>
      <c r="F66" s="133"/>
      <c r="G66" s="133"/>
      <c r="H66" s="133"/>
      <c r="I66" s="133"/>
      <c r="J66" s="133"/>
      <c r="K66" s="133"/>
      <c r="L66" s="133"/>
    </row>
    <row r="67" spans="1:5" ht="12.75">
      <c r="A67" s="16"/>
      <c r="D67"/>
      <c r="E67" s="16"/>
    </row>
    <row r="68" spans="2:4" ht="12.75">
      <c r="B68" s="24" t="s">
        <v>37</v>
      </c>
      <c r="C68" s="24"/>
      <c r="D68" s="16">
        <v>19600000</v>
      </c>
    </row>
    <row r="69" spans="2:3" ht="12.75">
      <c r="B69" s="24"/>
      <c r="C69" s="24"/>
    </row>
    <row r="71" ht="12.75">
      <c r="A71" s="24" t="s">
        <v>35</v>
      </c>
    </row>
  </sheetData>
  <sheetProtection/>
  <mergeCells count="13">
    <mergeCell ref="A57:L57"/>
    <mergeCell ref="A66:L66"/>
    <mergeCell ref="A64:L64"/>
    <mergeCell ref="A2:L2"/>
    <mergeCell ref="A31:L31"/>
    <mergeCell ref="B61:C61"/>
    <mergeCell ref="B62:D62"/>
    <mergeCell ref="A1:L1"/>
    <mergeCell ref="A5:L5"/>
    <mergeCell ref="H10:L10"/>
    <mergeCell ref="A8:L8"/>
    <mergeCell ref="A4:L4"/>
    <mergeCell ref="A3:L3"/>
  </mergeCells>
  <hyperlinks>
    <hyperlink ref="A4" r:id="rId1" display="www.yonkersraceway.com"/>
  </hyperlinks>
  <printOptions horizontalCentered="1"/>
  <pageMargins left="0.25" right="0.25" top="0.75" bottom="0.5" header="0.5" footer="0.5"/>
  <pageSetup fitToHeight="1" fitToWidth="1" horizontalDpi="600" verticalDpi="600" orientation="portrait" scale="74"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D28" sqref="D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2.7109375" style="16" customWidth="1"/>
    <col min="9" max="9" width="13.421875" style="16" customWidth="1"/>
    <col min="10" max="10" width="16.57421875" style="16" customWidth="1"/>
    <col min="11" max="11" width="15.140625" style="16" customWidth="1"/>
    <col min="12" max="12" width="12.7109375" style="0" customWidth="1"/>
  </cols>
  <sheetData>
    <row r="1" spans="1:12" ht="18">
      <c r="A1" s="139" t="s">
        <v>50</v>
      </c>
      <c r="B1" s="139"/>
      <c r="C1" s="139"/>
      <c r="D1" s="139"/>
      <c r="E1" s="139"/>
      <c r="F1" s="139"/>
      <c r="G1" s="139"/>
      <c r="H1" s="139"/>
      <c r="I1" s="139"/>
      <c r="J1" s="139"/>
      <c r="K1" s="139"/>
      <c r="L1" s="40"/>
    </row>
    <row r="2" spans="1:11" ht="15">
      <c r="A2" s="140" t="s">
        <v>0</v>
      </c>
      <c r="B2" s="140"/>
      <c r="C2" s="140"/>
      <c r="D2" s="140"/>
      <c r="E2" s="140"/>
      <c r="F2" s="140"/>
      <c r="G2" s="140"/>
      <c r="H2" s="140"/>
      <c r="I2" s="140"/>
      <c r="J2" s="140"/>
      <c r="K2" s="140"/>
    </row>
    <row r="3" spans="1:11" s="1" customFormat="1" ht="15">
      <c r="A3" s="140" t="s">
        <v>1</v>
      </c>
      <c r="B3" s="140"/>
      <c r="C3" s="140"/>
      <c r="D3" s="140"/>
      <c r="E3" s="140"/>
      <c r="F3" s="140"/>
      <c r="G3" s="140"/>
      <c r="H3" s="140"/>
      <c r="I3" s="140"/>
      <c r="J3" s="140"/>
      <c r="K3" s="140"/>
    </row>
    <row r="4" spans="1:11" s="1" customFormat="1" ht="14.25">
      <c r="A4" s="125" t="s">
        <v>2</v>
      </c>
      <c r="B4" s="125"/>
      <c r="C4" s="125"/>
      <c r="D4" s="125"/>
      <c r="E4" s="125"/>
      <c r="F4" s="125"/>
      <c r="G4" s="125"/>
      <c r="H4" s="125"/>
      <c r="I4" s="125"/>
      <c r="J4" s="125"/>
      <c r="K4" s="125"/>
    </row>
    <row r="5" spans="1:11" s="1" customFormat="1" ht="14.25">
      <c r="A5" s="141" t="s">
        <v>3</v>
      </c>
      <c r="B5" s="141"/>
      <c r="C5" s="141"/>
      <c r="D5" s="141"/>
      <c r="E5" s="141"/>
      <c r="F5" s="141"/>
      <c r="G5" s="141"/>
      <c r="H5" s="141"/>
      <c r="I5" s="141"/>
      <c r="J5" s="141"/>
      <c r="K5" s="141"/>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35" t="s">
        <v>60</v>
      </c>
      <c r="B8" s="136"/>
      <c r="C8" s="136"/>
      <c r="D8" s="136"/>
      <c r="E8" s="136"/>
      <c r="F8" s="136"/>
      <c r="G8" s="136"/>
      <c r="H8" s="136"/>
      <c r="I8" s="136"/>
      <c r="J8" s="136"/>
      <c r="K8" s="137"/>
    </row>
    <row r="9" spans="1:11" s="1" customFormat="1" ht="9" customHeight="1">
      <c r="A9" s="3"/>
      <c r="B9" s="4"/>
      <c r="C9" s="4"/>
      <c r="D9" s="5"/>
      <c r="E9" s="6"/>
      <c r="F9" s="5"/>
      <c r="G9" s="5"/>
      <c r="H9" s="5"/>
      <c r="I9" s="5"/>
      <c r="J9" s="5"/>
      <c r="K9" s="5"/>
    </row>
    <row r="10" spans="1:11" s="1" customFormat="1" ht="12.75">
      <c r="A10" s="3"/>
      <c r="B10" s="5"/>
      <c r="C10" s="5"/>
      <c r="D10" s="5"/>
      <c r="E10" s="6"/>
      <c r="F10" s="5"/>
      <c r="G10" s="5"/>
      <c r="H10" s="134" t="s">
        <v>4</v>
      </c>
      <c r="I10" s="134"/>
      <c r="J10" s="134"/>
      <c r="K10" s="134"/>
    </row>
    <row r="11" spans="1:11" s="1" customFormat="1" ht="7.5" customHeight="1">
      <c r="A11" s="3"/>
      <c r="B11" s="5"/>
      <c r="C11" s="5"/>
      <c r="D11" s="5"/>
      <c r="E11" s="6"/>
      <c r="F11" s="5"/>
      <c r="G11" s="5"/>
      <c r="H11" s="5"/>
      <c r="I11" s="5"/>
      <c r="J11" s="5"/>
      <c r="K11" s="5"/>
    </row>
    <row r="12" spans="1:11" s="12" customFormat="1" ht="12">
      <c r="A12" s="9"/>
      <c r="B12" s="10" t="s">
        <v>5</v>
      </c>
      <c r="C12" s="10" t="s">
        <v>5</v>
      </c>
      <c r="D12" s="10"/>
      <c r="E12" s="11" t="s">
        <v>6</v>
      </c>
      <c r="F12" s="10" t="s">
        <v>7</v>
      </c>
      <c r="G12" s="10"/>
      <c r="H12" s="10" t="s">
        <v>8</v>
      </c>
      <c r="I12" s="10" t="s">
        <v>74</v>
      </c>
      <c r="J12" s="10" t="s">
        <v>9</v>
      </c>
      <c r="K12" s="54" t="s">
        <v>75</v>
      </c>
    </row>
    <row r="13" spans="1:11" s="12" customFormat="1" ht="12">
      <c r="A13" s="13" t="s">
        <v>10</v>
      </c>
      <c r="B13" s="8" t="s">
        <v>11</v>
      </c>
      <c r="C13" s="8" t="s">
        <v>12</v>
      </c>
      <c r="D13" s="8" t="s">
        <v>13</v>
      </c>
      <c r="E13" s="14" t="s">
        <v>14</v>
      </c>
      <c r="F13" s="8" t="s">
        <v>15</v>
      </c>
      <c r="G13" s="15"/>
      <c r="H13" s="8" t="s">
        <v>16</v>
      </c>
      <c r="I13" s="8" t="s">
        <v>17</v>
      </c>
      <c r="J13" s="8" t="s">
        <v>18</v>
      </c>
      <c r="K13" s="55" t="s">
        <v>76</v>
      </c>
    </row>
    <row r="15" spans="1:11" ht="12.75">
      <c r="A15" s="3">
        <v>39173</v>
      </c>
      <c r="B15" s="16">
        <v>389810205.73999995</v>
      </c>
      <c r="C15" s="16">
        <f aca="true" t="shared" si="0" ref="C15:C26">B15-D15</f>
        <v>358304757.4</v>
      </c>
      <c r="D15" s="16">
        <v>31505448.340000004</v>
      </c>
      <c r="E15" s="17">
        <f>164340/30</f>
        <v>5478</v>
      </c>
      <c r="F15" s="16">
        <v>191.70894693927227</v>
      </c>
      <c r="H15" s="16">
        <v>17012942.090000004</v>
      </c>
      <c r="I15" s="16">
        <v>10081743.47</v>
      </c>
      <c r="J15" s="16">
        <v>1260217.9</v>
      </c>
      <c r="K15" s="16">
        <f aca="true" t="shared" si="1" ref="K15:K26">D15*0.1</f>
        <v>3150544.8340000007</v>
      </c>
    </row>
    <row r="16" spans="1:11" ht="12.75">
      <c r="A16" s="3">
        <v>39203</v>
      </c>
      <c r="B16" s="16">
        <v>389351958.53999984</v>
      </c>
      <c r="C16" s="16">
        <f t="shared" si="0"/>
        <v>357365451.98999983</v>
      </c>
      <c r="D16" s="16">
        <v>31986506.549999997</v>
      </c>
      <c r="E16" s="17">
        <f>169818/31</f>
        <v>5478</v>
      </c>
      <c r="F16" s="16">
        <v>188.35757428541143</v>
      </c>
      <c r="H16" s="16">
        <v>17677472.209999997</v>
      </c>
      <c r="I16" s="16">
        <v>9830923.47</v>
      </c>
      <c r="J16" s="16">
        <v>1279460.26</v>
      </c>
      <c r="K16" s="16">
        <f t="shared" si="1"/>
        <v>3198650.655</v>
      </c>
    </row>
    <row r="17" spans="1:11" ht="12.75">
      <c r="A17" s="3">
        <v>39234</v>
      </c>
      <c r="B17" s="16">
        <v>406235937.96</v>
      </c>
      <c r="C17" s="16">
        <f t="shared" si="0"/>
        <v>373360377.22999996</v>
      </c>
      <c r="D17" s="16">
        <v>32875560.729999997</v>
      </c>
      <c r="E17" s="17">
        <f>164340/30</f>
        <v>5478</v>
      </c>
      <c r="F17" s="16">
        <v>200.04600663259095</v>
      </c>
      <c r="H17" s="16">
        <v>18739069.63</v>
      </c>
      <c r="I17" s="16">
        <v>9533912.61</v>
      </c>
      <c r="J17" s="16">
        <v>1315022.43</v>
      </c>
      <c r="K17" s="16">
        <f t="shared" si="1"/>
        <v>3287556.073</v>
      </c>
    </row>
    <row r="18" spans="1:11" ht="12.75">
      <c r="A18" s="3">
        <v>39264</v>
      </c>
      <c r="B18" s="16">
        <v>450279600.4599999</v>
      </c>
      <c r="C18" s="16">
        <f t="shared" si="0"/>
        <v>413812646.5299999</v>
      </c>
      <c r="D18" s="16">
        <v>36466953.93</v>
      </c>
      <c r="E18" s="17">
        <f>169652/31</f>
        <v>5472.645161290323</v>
      </c>
      <c r="F18" s="16">
        <v>214.95151209534814</v>
      </c>
      <c r="H18" s="16">
        <v>20786163.750000004</v>
      </c>
      <c r="I18" s="16">
        <v>10575416.66</v>
      </c>
      <c r="J18" s="16">
        <v>1458678.14</v>
      </c>
      <c r="K18" s="16">
        <f t="shared" si="1"/>
        <v>3646695.393</v>
      </c>
    </row>
    <row r="19" spans="1:11" ht="12.75">
      <c r="A19" s="3">
        <v>39295</v>
      </c>
      <c r="B19" s="16">
        <v>456939820.60999995</v>
      </c>
      <c r="C19" s="16">
        <f t="shared" si="0"/>
        <v>419741539.9499999</v>
      </c>
      <c r="D19" s="16">
        <v>37198280.660000004</v>
      </c>
      <c r="E19" s="17">
        <f>169818/31</f>
        <v>5478</v>
      </c>
      <c r="F19" s="16">
        <v>219.04792577936382</v>
      </c>
      <c r="H19" s="16">
        <v>21804002.490000002</v>
      </c>
      <c r="I19" s="16">
        <v>10186518.89</v>
      </c>
      <c r="J19" s="16">
        <v>1487931.19</v>
      </c>
      <c r="K19" s="16">
        <f t="shared" si="1"/>
        <v>3719828.0660000006</v>
      </c>
    </row>
    <row r="20" spans="1:11" ht="12.75">
      <c r="A20" s="3">
        <v>39326</v>
      </c>
      <c r="B20" s="16">
        <v>471168320.35</v>
      </c>
      <c r="C20" s="16">
        <f t="shared" si="0"/>
        <v>432953834.38</v>
      </c>
      <c r="D20" s="16">
        <v>38214485.97</v>
      </c>
      <c r="E20" s="17">
        <f>164340/30</f>
        <v>5478</v>
      </c>
      <c r="F20" s="16">
        <v>232.5330775830595</v>
      </c>
      <c r="H20" s="16">
        <v>22928691.59</v>
      </c>
      <c r="I20" s="16">
        <v>9935766.35</v>
      </c>
      <c r="J20" s="16">
        <v>1528579.44</v>
      </c>
      <c r="K20" s="16">
        <f t="shared" si="1"/>
        <v>3821448.597</v>
      </c>
    </row>
    <row r="21" spans="1:11" ht="12.75">
      <c r="A21" s="3">
        <v>39356</v>
      </c>
      <c r="B21" s="16">
        <v>454614118.2</v>
      </c>
      <c r="C21" s="16">
        <f t="shared" si="0"/>
        <v>417506482.2</v>
      </c>
      <c r="D21" s="16">
        <v>37107636</v>
      </c>
      <c r="E21" s="17">
        <f>169818/31</f>
        <v>5478</v>
      </c>
      <c r="F21" s="16">
        <f>D21/E21/31</f>
        <v>218.5141504434159</v>
      </c>
      <c r="H21" s="16">
        <v>22264581.43</v>
      </c>
      <c r="I21" s="16">
        <v>9647985.29</v>
      </c>
      <c r="J21" s="16">
        <f>D21*0.04</f>
        <v>1484305.44</v>
      </c>
      <c r="K21" s="16">
        <f t="shared" si="1"/>
        <v>3710763.6</v>
      </c>
    </row>
    <row r="22" spans="1:11" ht="12.75">
      <c r="A22" s="3">
        <v>39387</v>
      </c>
      <c r="B22" s="16">
        <v>433040981.54</v>
      </c>
      <c r="C22" s="16">
        <f t="shared" si="0"/>
        <v>397851019.47</v>
      </c>
      <c r="D22" s="16">
        <v>35189962.07</v>
      </c>
      <c r="E22" s="17">
        <f>164244/30</f>
        <v>5474.8</v>
      </c>
      <c r="F22" s="16">
        <f>D22/E22/30</f>
        <v>214.25417105038844</v>
      </c>
      <c r="H22" s="16">
        <v>21113977.26</v>
      </c>
      <c r="I22" s="16">
        <v>9149390.15</v>
      </c>
      <c r="J22" s="16">
        <v>1407598.48</v>
      </c>
      <c r="K22" s="16">
        <f t="shared" si="1"/>
        <v>3518996.2070000004</v>
      </c>
    </row>
    <row r="23" spans="1:11" ht="12.75">
      <c r="A23" s="3">
        <v>39417</v>
      </c>
      <c r="B23" s="16">
        <v>408494198.77</v>
      </c>
      <c r="C23" s="16">
        <f t="shared" si="0"/>
        <v>374882802.45</v>
      </c>
      <c r="D23" s="16">
        <v>33611396.32</v>
      </c>
      <c r="E23" s="17">
        <f>168826/31</f>
        <v>5446</v>
      </c>
      <c r="F23" s="16">
        <f>D23/E23/31</f>
        <v>199.0889810811131</v>
      </c>
      <c r="H23" s="16">
        <v>20166837.78</v>
      </c>
      <c r="I23" s="16">
        <v>8738963.04</v>
      </c>
      <c r="J23" s="16">
        <v>1344455.87</v>
      </c>
      <c r="K23" s="16">
        <f t="shared" si="1"/>
        <v>3361139.632</v>
      </c>
    </row>
    <row r="24" spans="1:11" ht="12.75">
      <c r="A24" s="3">
        <v>39448</v>
      </c>
      <c r="B24" s="16">
        <v>451854139.18</v>
      </c>
      <c r="C24" s="16">
        <f t="shared" si="0"/>
        <v>415017382.12</v>
      </c>
      <c r="D24" s="16">
        <v>36836757.06</v>
      </c>
      <c r="E24" s="17">
        <v>5443</v>
      </c>
      <c r="F24" s="16">
        <f>D24/E24/31</f>
        <v>218.31388679155828</v>
      </c>
      <c r="H24" s="16">
        <v>22102054.25</v>
      </c>
      <c r="I24" s="16">
        <v>9577556.83</v>
      </c>
      <c r="J24" s="16">
        <v>1473470.27</v>
      </c>
      <c r="K24" s="16">
        <f t="shared" si="1"/>
        <v>3683675.7060000002</v>
      </c>
    </row>
    <row r="25" spans="1:11" ht="12.75">
      <c r="A25" s="3">
        <v>39479</v>
      </c>
      <c r="B25" s="16">
        <v>468362490.97</v>
      </c>
      <c r="C25" s="16">
        <f t="shared" si="0"/>
        <v>430415374.18</v>
      </c>
      <c r="D25" s="16">
        <v>37947116.79</v>
      </c>
      <c r="E25" s="17">
        <f>154221/29</f>
        <v>5317.9655172413795</v>
      </c>
      <c r="F25" s="16">
        <f>D25/E25/29</f>
        <v>246.05674188340106</v>
      </c>
      <c r="H25" s="16">
        <v>22768270.11</v>
      </c>
      <c r="I25" s="16">
        <v>9866250.37</v>
      </c>
      <c r="J25" s="16">
        <v>1517884.67</v>
      </c>
      <c r="K25" s="16">
        <f t="shared" si="1"/>
        <v>3794711.679</v>
      </c>
    </row>
    <row r="26" spans="1:11" ht="12.75">
      <c r="A26" s="3">
        <v>39508</v>
      </c>
      <c r="B26" s="16">
        <v>524779176.7</v>
      </c>
      <c r="C26" s="16">
        <f t="shared" si="0"/>
        <v>482008484.57</v>
      </c>
      <c r="D26" s="16">
        <v>42770692.13</v>
      </c>
      <c r="E26" s="17">
        <f>163297/31</f>
        <v>5267.645161290323</v>
      </c>
      <c r="F26" s="16">
        <f>D26/E26/31</f>
        <v>261.91964414533027</v>
      </c>
      <c r="H26" s="16">
        <v>25662415.28</v>
      </c>
      <c r="I26" s="16">
        <v>11120379.95</v>
      </c>
      <c r="J26" s="16">
        <v>1710827.67</v>
      </c>
      <c r="K26" s="16">
        <f t="shared" si="1"/>
        <v>4277069.213</v>
      </c>
    </row>
    <row r="27" spans="1:11" ht="13.5" thickBot="1">
      <c r="A27" s="3" t="s">
        <v>19</v>
      </c>
      <c r="B27" s="18">
        <f>SUM(B15:B26)</f>
        <v>5304930949.0199995</v>
      </c>
      <c r="C27" s="18">
        <f>SUM(C15:C26)</f>
        <v>4873220152.469999</v>
      </c>
      <c r="D27" s="18">
        <f>SUM(D15:D26)</f>
        <v>431710796.55</v>
      </c>
      <c r="H27" s="18">
        <f>SUM(H15:H26)</f>
        <v>253026477.86999997</v>
      </c>
      <c r="I27" s="18">
        <f>SUM(I15:I26)</f>
        <v>118244807.08000001</v>
      </c>
      <c r="J27" s="18">
        <f>SUM(J15:J26)</f>
        <v>17268431.759999998</v>
      </c>
      <c r="K27" s="18">
        <f>SUM(K15:K26)</f>
        <v>43171079.654999994</v>
      </c>
    </row>
    <row r="28" spans="2:11" ht="10.5" customHeight="1" thickTop="1">
      <c r="B28" s="19"/>
      <c r="C28" s="19"/>
      <c r="D28" s="19"/>
      <c r="H28" s="19"/>
      <c r="I28" s="19"/>
      <c r="J28" s="19"/>
      <c r="K28" s="19"/>
    </row>
    <row r="29" spans="1:11" s="22" customFormat="1" ht="12.75">
      <c r="A29" s="20"/>
      <c r="B29" s="21"/>
      <c r="C29" s="21">
        <f>C27/B27</f>
        <v>0.9186208452666567</v>
      </c>
      <c r="D29" s="21">
        <f>D27/B27</f>
        <v>0.08137915473334326</v>
      </c>
      <c r="H29" s="21">
        <f>H27/$D$27</f>
        <v>0.5861018067929994</v>
      </c>
      <c r="I29" s="21">
        <f>I27/$D$27</f>
        <v>0.2738981930147422</v>
      </c>
      <c r="J29" s="21">
        <f>J27/$D$27</f>
        <v>0.03999999976373071</v>
      </c>
      <c r="K29" s="21">
        <f>K27/$D$27</f>
        <v>0.09999999999999998</v>
      </c>
    </row>
    <row r="31" spans="1:11" s="23" customFormat="1" ht="12.75">
      <c r="A31" s="135" t="s">
        <v>20</v>
      </c>
      <c r="B31" s="136"/>
      <c r="C31" s="136"/>
      <c r="D31" s="136"/>
      <c r="E31" s="136"/>
      <c r="F31" s="136"/>
      <c r="G31" s="136"/>
      <c r="H31" s="136"/>
      <c r="I31" s="136"/>
      <c r="J31" s="136"/>
      <c r="K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22</v>
      </c>
      <c r="B36" s="26"/>
      <c r="C36" s="26" t="s">
        <v>23</v>
      </c>
      <c r="E36" s="26"/>
      <c r="F36" s="26"/>
      <c r="G36" s="26"/>
      <c r="H36" s="26"/>
      <c r="I36" s="26"/>
      <c r="J36" s="26"/>
      <c r="K36" s="26"/>
    </row>
    <row r="37" spans="1:11" ht="6" customHeight="1">
      <c r="A37" s="25"/>
      <c r="B37" s="26"/>
      <c r="C37" s="26"/>
      <c r="E37" s="26"/>
      <c r="F37" s="26"/>
      <c r="G37" s="26"/>
      <c r="H37" s="26"/>
      <c r="I37" s="26"/>
      <c r="J37" s="26"/>
      <c r="K37" s="26"/>
    </row>
    <row r="38" spans="1:11" ht="12.75">
      <c r="A38" s="25" t="s">
        <v>24</v>
      </c>
      <c r="B38" s="26"/>
      <c r="C38" s="26" t="s">
        <v>25</v>
      </c>
      <c r="E38" s="27"/>
      <c r="F38" s="26"/>
      <c r="G38" s="26"/>
      <c r="H38" s="26"/>
      <c r="I38" s="26"/>
      <c r="J38" s="26"/>
      <c r="K38" s="26"/>
    </row>
    <row r="39" spans="1:11" ht="12.75">
      <c r="A39" s="25"/>
      <c r="B39" s="26"/>
      <c r="C39" s="26" t="s">
        <v>26</v>
      </c>
      <c r="E39" s="27"/>
      <c r="F39" s="26"/>
      <c r="G39" s="26"/>
      <c r="H39" s="26"/>
      <c r="I39" s="26"/>
      <c r="J39" s="26"/>
      <c r="K39" s="26"/>
    </row>
    <row r="40" spans="1:11" ht="6" customHeight="1">
      <c r="A40" s="25"/>
      <c r="B40" s="26"/>
      <c r="C40" s="26"/>
      <c r="E40" s="27"/>
      <c r="F40" s="26"/>
      <c r="G40" s="26"/>
      <c r="H40" s="26"/>
      <c r="I40" s="26"/>
      <c r="J40" s="26"/>
      <c r="K40" s="26"/>
    </row>
    <row r="41" spans="1:11" ht="12.75">
      <c r="A41" s="25" t="s">
        <v>27</v>
      </c>
      <c r="B41" s="26"/>
      <c r="C41" s="26" t="s">
        <v>28</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29</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79</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135" t="s">
        <v>30</v>
      </c>
      <c r="B53" s="136"/>
      <c r="C53" s="136"/>
      <c r="D53" s="136"/>
      <c r="E53" s="136"/>
      <c r="F53" s="136"/>
      <c r="G53" s="136"/>
      <c r="H53" s="136"/>
      <c r="I53" s="136"/>
      <c r="J53" s="136"/>
      <c r="K53" s="137"/>
    </row>
    <row r="54" ht="12.75">
      <c r="A54" s="24"/>
    </row>
    <row r="55" spans="1:11" ht="13.5">
      <c r="A55" s="32"/>
      <c r="F55" s="10" t="s">
        <v>8</v>
      </c>
      <c r="G55" s="33"/>
      <c r="H55" s="10" t="s">
        <v>74</v>
      </c>
      <c r="I55" s="10" t="s">
        <v>9</v>
      </c>
      <c r="J55" s="54" t="s">
        <v>75</v>
      </c>
      <c r="K55" s="34"/>
    </row>
    <row r="56" spans="1:11" ht="12.75">
      <c r="A56" s="35"/>
      <c r="F56" s="8" t="s">
        <v>16</v>
      </c>
      <c r="G56" s="36"/>
      <c r="H56" s="8" t="s">
        <v>17</v>
      </c>
      <c r="I56" s="8" t="s">
        <v>18</v>
      </c>
      <c r="J56" s="55" t="s">
        <v>76</v>
      </c>
      <c r="K56" s="34"/>
    </row>
    <row r="57" spans="2:11" ht="12.75">
      <c r="B57" s="37" t="s">
        <v>31</v>
      </c>
      <c r="C57" s="37"/>
      <c r="D57" s="26"/>
      <c r="E57" s="27"/>
      <c r="F57" s="38">
        <v>0.54</v>
      </c>
      <c r="G57" s="26"/>
      <c r="H57" s="38">
        <v>0.32</v>
      </c>
      <c r="I57" s="38">
        <v>0.04</v>
      </c>
      <c r="J57" s="38">
        <v>0.1</v>
      </c>
      <c r="K57" s="39"/>
    </row>
    <row r="58" spans="2:11" ht="12.75">
      <c r="B58" s="37" t="s">
        <v>32</v>
      </c>
      <c r="C58" s="37"/>
      <c r="D58" s="26"/>
      <c r="E58" s="27"/>
      <c r="F58" s="38">
        <v>0.57</v>
      </c>
      <c r="G58" s="26"/>
      <c r="H58" s="38">
        <v>0.29</v>
      </c>
      <c r="I58" s="38">
        <v>0.04</v>
      </c>
      <c r="J58" s="38">
        <v>0.1</v>
      </c>
      <c r="K58" s="39"/>
    </row>
    <row r="59" spans="2:11" ht="12.75">
      <c r="B59" s="37" t="s">
        <v>33</v>
      </c>
      <c r="C59" s="37"/>
      <c r="D59" s="26"/>
      <c r="E59" s="27"/>
      <c r="F59" s="38">
        <v>0.57</v>
      </c>
      <c r="G59" s="26"/>
      <c r="H59" s="38">
        <v>0.29</v>
      </c>
      <c r="I59" s="38">
        <v>0.04</v>
      </c>
      <c r="J59" s="38">
        <v>0.1</v>
      </c>
      <c r="K59" s="39"/>
    </row>
    <row r="60" spans="2:11" ht="12.75">
      <c r="B60" s="37" t="s">
        <v>34</v>
      </c>
      <c r="C60" s="37"/>
      <c r="D60" s="26"/>
      <c r="E60" s="27"/>
      <c r="F60" s="38">
        <v>0.6</v>
      </c>
      <c r="G60" s="26"/>
      <c r="H60" s="38">
        <v>0.26</v>
      </c>
      <c r="I60" s="38">
        <v>0.04</v>
      </c>
      <c r="J60" s="38">
        <v>0.1</v>
      </c>
      <c r="K60" s="39"/>
    </row>
    <row r="61" ht="12.75">
      <c r="A61" s="24"/>
    </row>
    <row r="62" spans="1:11" s="23" customFormat="1" ht="12.75">
      <c r="A62" s="130" t="s">
        <v>36</v>
      </c>
      <c r="B62" s="131"/>
      <c r="C62" s="131"/>
      <c r="D62" s="131"/>
      <c r="E62" s="131"/>
      <c r="F62" s="131"/>
      <c r="G62" s="131"/>
      <c r="H62" s="131"/>
      <c r="I62" s="131"/>
      <c r="J62" s="131"/>
      <c r="K62" s="132"/>
    </row>
    <row r="63" spans="1:5" ht="12.75">
      <c r="A63" s="24"/>
      <c r="D63"/>
      <c r="E63" s="16"/>
    </row>
    <row r="64" spans="1:11" ht="51.75" customHeight="1">
      <c r="A64" s="142" t="s">
        <v>38</v>
      </c>
      <c r="B64" s="142"/>
      <c r="C64" s="142"/>
      <c r="D64" s="142"/>
      <c r="E64" s="142"/>
      <c r="F64" s="142"/>
      <c r="G64" s="142"/>
      <c r="H64" s="142"/>
      <c r="I64" s="142"/>
      <c r="J64" s="142"/>
      <c r="K64" s="142"/>
    </row>
    <row r="65" spans="1:5" ht="12.75">
      <c r="A65" s="16"/>
      <c r="D65"/>
      <c r="E65" s="16"/>
    </row>
    <row r="66" spans="2:4" ht="12.75">
      <c r="B66" s="24" t="s">
        <v>37</v>
      </c>
      <c r="C66" s="24"/>
      <c r="D66" s="16">
        <v>20000000</v>
      </c>
    </row>
    <row r="67" spans="2:3" ht="12.75">
      <c r="B67" s="24"/>
      <c r="C67" s="24"/>
    </row>
    <row r="69" ht="12.75">
      <c r="A69" s="24" t="s">
        <v>35</v>
      </c>
    </row>
  </sheetData>
  <sheetProtection/>
  <mergeCells count="11">
    <mergeCell ref="A62:K62"/>
    <mergeCell ref="A64:K64"/>
    <mergeCell ref="A31:K31"/>
    <mergeCell ref="A53:K53"/>
    <mergeCell ref="A2:K2"/>
    <mergeCell ref="A1:K1"/>
    <mergeCell ref="A5:K5"/>
    <mergeCell ref="H10:K10"/>
    <mergeCell ref="A8:K8"/>
    <mergeCell ref="A4:K4"/>
    <mergeCell ref="A3:K3"/>
  </mergeCells>
  <hyperlinks>
    <hyperlink ref="A4" r:id="rId1" display="www.yonkersraceway.com"/>
  </hyperlinks>
  <printOptions horizontalCentered="1"/>
  <pageMargins left="0.25" right="0.25" top="0.75" bottom="0.5" header="0.5" footer="0.5"/>
  <pageSetup fitToHeight="1" fitToWidth="1" horizontalDpi="600" verticalDpi="600" orientation="portrait" scale="80"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1">
      <selection activeCell="D28" sqref="D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2.7109375" style="16" customWidth="1"/>
    <col min="9" max="9" width="14.140625" style="16" customWidth="1"/>
    <col min="10" max="10" width="15.8515625" style="16" customWidth="1"/>
    <col min="11" max="11" width="14.7109375" style="16" customWidth="1"/>
    <col min="12" max="12" width="12.7109375" style="0" customWidth="1"/>
  </cols>
  <sheetData>
    <row r="1" spans="1:11" ht="18">
      <c r="A1" s="139" t="s">
        <v>50</v>
      </c>
      <c r="B1" s="139"/>
      <c r="C1" s="139"/>
      <c r="D1" s="139"/>
      <c r="E1" s="139"/>
      <c r="F1" s="139"/>
      <c r="G1" s="139"/>
      <c r="H1" s="139"/>
      <c r="I1" s="139"/>
      <c r="J1" s="139"/>
      <c r="K1" s="139"/>
    </row>
    <row r="2" spans="1:11" ht="15">
      <c r="A2" s="140" t="s">
        <v>0</v>
      </c>
      <c r="B2" s="140"/>
      <c r="C2" s="140"/>
      <c r="D2" s="140"/>
      <c r="E2" s="140"/>
      <c r="F2" s="140"/>
      <c r="G2" s="140"/>
      <c r="H2" s="140"/>
      <c r="I2" s="140"/>
      <c r="J2" s="140"/>
      <c r="K2" s="140"/>
    </row>
    <row r="3" spans="1:11" s="1" customFormat="1" ht="15">
      <c r="A3" s="140" t="s">
        <v>1</v>
      </c>
      <c r="B3" s="140"/>
      <c r="C3" s="140"/>
      <c r="D3" s="140"/>
      <c r="E3" s="140"/>
      <c r="F3" s="140"/>
      <c r="G3" s="140"/>
      <c r="H3" s="140"/>
      <c r="I3" s="140"/>
      <c r="J3" s="140"/>
      <c r="K3" s="140"/>
    </row>
    <row r="4" spans="1:11" s="1" customFormat="1" ht="14.25">
      <c r="A4" s="125" t="s">
        <v>2</v>
      </c>
      <c r="B4" s="125"/>
      <c r="C4" s="125"/>
      <c r="D4" s="125"/>
      <c r="E4" s="125"/>
      <c r="F4" s="125"/>
      <c r="G4" s="125"/>
      <c r="H4" s="125"/>
      <c r="I4" s="125"/>
      <c r="J4" s="125"/>
      <c r="K4" s="125"/>
    </row>
    <row r="5" spans="1:11" s="1" customFormat="1" ht="14.25">
      <c r="A5" s="141" t="s">
        <v>3</v>
      </c>
      <c r="B5" s="141"/>
      <c r="C5" s="141"/>
      <c r="D5" s="141"/>
      <c r="E5" s="141"/>
      <c r="F5" s="141"/>
      <c r="G5" s="141"/>
      <c r="H5" s="141"/>
      <c r="I5" s="141"/>
      <c r="J5" s="141"/>
      <c r="K5" s="141"/>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35" t="s">
        <v>59</v>
      </c>
      <c r="B8" s="136"/>
      <c r="C8" s="136"/>
      <c r="D8" s="136"/>
      <c r="E8" s="136"/>
      <c r="F8" s="136"/>
      <c r="G8" s="136"/>
      <c r="H8" s="136"/>
      <c r="I8" s="136"/>
      <c r="J8" s="136"/>
      <c r="K8" s="137"/>
    </row>
    <row r="9" spans="1:11" s="1" customFormat="1" ht="9" customHeight="1">
      <c r="A9" s="3"/>
      <c r="B9" s="4"/>
      <c r="C9" s="4"/>
      <c r="D9" s="5"/>
      <c r="E9" s="6"/>
      <c r="F9" s="5"/>
      <c r="G9" s="5"/>
      <c r="H9" s="5"/>
      <c r="I9" s="5"/>
      <c r="J9" s="5"/>
      <c r="K9" s="5"/>
    </row>
    <row r="10" spans="1:11" s="1" customFormat="1" ht="12.75">
      <c r="A10" s="3"/>
      <c r="B10" s="5"/>
      <c r="C10" s="5"/>
      <c r="D10" s="5"/>
      <c r="E10" s="6"/>
      <c r="F10" s="5"/>
      <c r="G10" s="5"/>
      <c r="H10" s="134" t="s">
        <v>4</v>
      </c>
      <c r="I10" s="134"/>
      <c r="J10" s="134"/>
      <c r="K10" s="134"/>
    </row>
    <row r="11" spans="1:11" s="1" customFormat="1" ht="7.5" customHeight="1">
      <c r="A11" s="3"/>
      <c r="B11" s="5"/>
      <c r="C11" s="5"/>
      <c r="D11" s="5"/>
      <c r="E11" s="6"/>
      <c r="F11" s="5"/>
      <c r="G11" s="5"/>
      <c r="H11" s="5"/>
      <c r="I11" s="5"/>
      <c r="J11" s="5"/>
      <c r="K11" s="5"/>
    </row>
    <row r="12" spans="1:11" s="12" customFormat="1" ht="12">
      <c r="A12" s="9"/>
      <c r="B12" s="10" t="s">
        <v>5</v>
      </c>
      <c r="C12" s="10" t="s">
        <v>5</v>
      </c>
      <c r="D12" s="10"/>
      <c r="E12" s="11" t="s">
        <v>6</v>
      </c>
      <c r="F12" s="10" t="s">
        <v>7</v>
      </c>
      <c r="G12" s="10"/>
      <c r="H12" s="10" t="s">
        <v>8</v>
      </c>
      <c r="I12" s="10" t="s">
        <v>74</v>
      </c>
      <c r="J12" s="10" t="s">
        <v>9</v>
      </c>
      <c r="K12" s="54" t="s">
        <v>75</v>
      </c>
    </row>
    <row r="13" spans="1:11" s="12" customFormat="1" ht="12">
      <c r="A13" s="13" t="s">
        <v>10</v>
      </c>
      <c r="B13" s="8" t="s">
        <v>11</v>
      </c>
      <c r="C13" s="8" t="s">
        <v>12</v>
      </c>
      <c r="D13" s="8" t="s">
        <v>13</v>
      </c>
      <c r="E13" s="14" t="s">
        <v>14</v>
      </c>
      <c r="F13" s="8" t="s">
        <v>15</v>
      </c>
      <c r="G13" s="15"/>
      <c r="H13" s="8" t="s">
        <v>16</v>
      </c>
      <c r="I13" s="8" t="s">
        <v>17</v>
      </c>
      <c r="J13" s="8" t="s">
        <v>18</v>
      </c>
      <c r="K13" s="55" t="s">
        <v>76</v>
      </c>
    </row>
    <row r="15" spans="1:11" ht="12.75">
      <c r="A15" s="3">
        <v>38808</v>
      </c>
      <c r="B15" s="16">
        <v>0</v>
      </c>
      <c r="C15" s="16">
        <f aca="true" t="shared" si="0" ref="C15:C26">B15-D15</f>
        <v>0</v>
      </c>
      <c r="D15" s="16">
        <v>0</v>
      </c>
      <c r="E15" s="17">
        <v>0</v>
      </c>
      <c r="F15" s="16">
        <v>0</v>
      </c>
      <c r="H15" s="16">
        <v>0</v>
      </c>
      <c r="I15" s="16">
        <v>0</v>
      </c>
      <c r="J15" s="16">
        <v>0</v>
      </c>
      <c r="K15" s="16">
        <v>0</v>
      </c>
    </row>
    <row r="16" spans="1:11" ht="12.75">
      <c r="A16" s="3">
        <v>38838</v>
      </c>
      <c r="B16" s="16">
        <v>0</v>
      </c>
      <c r="C16" s="16">
        <f t="shared" si="0"/>
        <v>0</v>
      </c>
      <c r="D16" s="16">
        <v>0</v>
      </c>
      <c r="E16" s="17">
        <v>0</v>
      </c>
      <c r="F16" s="16">
        <v>0</v>
      </c>
      <c r="H16" s="16">
        <v>0</v>
      </c>
      <c r="I16" s="16">
        <v>0</v>
      </c>
      <c r="J16" s="16">
        <v>0</v>
      </c>
      <c r="K16" s="16">
        <v>0</v>
      </c>
    </row>
    <row r="17" spans="1:11" ht="12.75">
      <c r="A17" s="3">
        <v>38869</v>
      </c>
      <c r="B17" s="16">
        <v>0</v>
      </c>
      <c r="C17" s="16">
        <f t="shared" si="0"/>
        <v>0</v>
      </c>
      <c r="D17" s="16">
        <v>0</v>
      </c>
      <c r="E17" s="17">
        <v>0</v>
      </c>
      <c r="F17" s="16">
        <v>0</v>
      </c>
      <c r="H17" s="16">
        <v>0</v>
      </c>
      <c r="I17" s="16">
        <v>0</v>
      </c>
      <c r="J17" s="16">
        <v>0</v>
      </c>
      <c r="K17" s="16">
        <v>0</v>
      </c>
    </row>
    <row r="18" spans="1:11" ht="12.75">
      <c r="A18" s="3">
        <v>38899</v>
      </c>
      <c r="B18" s="16">
        <v>0</v>
      </c>
      <c r="C18" s="16">
        <f t="shared" si="0"/>
        <v>0</v>
      </c>
      <c r="D18" s="16">
        <v>0</v>
      </c>
      <c r="E18" s="17">
        <v>0</v>
      </c>
      <c r="F18" s="16">
        <v>0</v>
      </c>
      <c r="H18" s="16">
        <v>0</v>
      </c>
      <c r="I18" s="16">
        <v>0</v>
      </c>
      <c r="J18" s="16">
        <v>0</v>
      </c>
      <c r="K18" s="16">
        <v>0</v>
      </c>
    </row>
    <row r="19" spans="1:11" ht="12.75">
      <c r="A19" s="3">
        <v>38930</v>
      </c>
      <c r="B19" s="16">
        <v>0</v>
      </c>
      <c r="C19" s="16">
        <f t="shared" si="0"/>
        <v>0</v>
      </c>
      <c r="D19" s="16">
        <v>0</v>
      </c>
      <c r="E19" s="17">
        <v>0</v>
      </c>
      <c r="F19" s="16">
        <v>0</v>
      </c>
      <c r="H19" s="16">
        <v>0</v>
      </c>
      <c r="I19" s="16">
        <v>0</v>
      </c>
      <c r="J19" s="16">
        <v>0</v>
      </c>
      <c r="K19" s="16">
        <v>0</v>
      </c>
    </row>
    <row r="20" spans="1:11" ht="12.75">
      <c r="A20" s="3">
        <v>38961</v>
      </c>
      <c r="B20" s="16">
        <v>0</v>
      </c>
      <c r="C20" s="16">
        <f t="shared" si="0"/>
        <v>0</v>
      </c>
      <c r="D20" s="16">
        <v>0</v>
      </c>
      <c r="E20" s="17">
        <v>0</v>
      </c>
      <c r="F20" s="16">
        <v>0</v>
      </c>
      <c r="H20" s="16">
        <v>0</v>
      </c>
      <c r="I20" s="16">
        <v>0</v>
      </c>
      <c r="J20" s="16">
        <v>0</v>
      </c>
      <c r="K20" s="16">
        <v>0</v>
      </c>
    </row>
    <row r="21" spans="1:11" ht="12.75">
      <c r="A21" s="3">
        <v>38991</v>
      </c>
      <c r="B21" s="16">
        <v>144688709.28000003</v>
      </c>
      <c r="C21" s="16">
        <f t="shared" si="0"/>
        <v>133366352.40000004</v>
      </c>
      <c r="D21" s="16">
        <v>11322356.879999999</v>
      </c>
      <c r="E21" s="17">
        <f>39270/21</f>
        <v>1870</v>
      </c>
      <c r="F21" s="16">
        <v>288.3207761650114</v>
      </c>
      <c r="H21" s="16">
        <v>6114072.724200001</v>
      </c>
      <c r="I21" s="16">
        <f aca="true" t="shared" si="1" ref="I21:I26">D21-H21-J21-K21</f>
        <v>3623154.192599998</v>
      </c>
      <c r="J21" s="16">
        <f aca="true" t="shared" si="2" ref="J21:J26">D21*0.04</f>
        <v>452894.2752</v>
      </c>
      <c r="K21" s="16">
        <f aca="true" t="shared" si="3" ref="K21:K26">D21*0.1</f>
        <v>1132235.6879999998</v>
      </c>
    </row>
    <row r="22" spans="1:11" ht="12.75">
      <c r="A22" s="3">
        <v>39022</v>
      </c>
      <c r="B22" s="16">
        <v>234829813.87</v>
      </c>
      <c r="C22" s="16">
        <f t="shared" si="0"/>
        <v>216449976.86</v>
      </c>
      <c r="D22" s="16">
        <v>18379837.01</v>
      </c>
      <c r="E22" s="17">
        <f>69960/30</f>
        <v>2332</v>
      </c>
      <c r="F22" s="16">
        <v>262.7192254145226</v>
      </c>
      <c r="H22" s="16">
        <v>9925112</v>
      </c>
      <c r="I22" s="16">
        <f t="shared" si="1"/>
        <v>5881547.8286000015</v>
      </c>
      <c r="J22" s="16">
        <f t="shared" si="2"/>
        <v>735193.4804000001</v>
      </c>
      <c r="K22" s="16">
        <f t="shared" si="3"/>
        <v>1837983.7010000004</v>
      </c>
    </row>
    <row r="23" spans="1:11" ht="12.75">
      <c r="A23" s="3">
        <v>39052</v>
      </c>
      <c r="B23" s="16">
        <v>254010736.64999998</v>
      </c>
      <c r="C23" s="16">
        <f t="shared" si="0"/>
        <v>233779798.61999997</v>
      </c>
      <c r="D23" s="16">
        <v>20230938.029999997</v>
      </c>
      <c r="E23" s="17">
        <f>80283/31</f>
        <v>2589.7741935483873</v>
      </c>
      <c r="F23" s="16">
        <v>251.9952920294458</v>
      </c>
      <c r="H23" s="16">
        <v>10924706.550000003</v>
      </c>
      <c r="I23" s="16">
        <f t="shared" si="1"/>
        <v>6473900.155799996</v>
      </c>
      <c r="J23" s="16">
        <f t="shared" si="2"/>
        <v>809237.5212</v>
      </c>
      <c r="K23" s="16">
        <f t="shared" si="3"/>
        <v>2023093.8029999998</v>
      </c>
    </row>
    <row r="24" spans="1:11" ht="12.75">
      <c r="A24" s="3">
        <v>39083</v>
      </c>
      <c r="B24" s="16">
        <v>309392680.5199999</v>
      </c>
      <c r="C24" s="16">
        <f t="shared" si="0"/>
        <v>284876745.3299999</v>
      </c>
      <c r="D24" s="16">
        <v>24515935.190000005</v>
      </c>
      <c r="E24" s="17">
        <f>127317/31</f>
        <v>4107</v>
      </c>
      <c r="F24" s="16">
        <v>192.55822231123892</v>
      </c>
      <c r="H24" s="16">
        <v>13972077.02</v>
      </c>
      <c r="I24" s="16">
        <f t="shared" si="1"/>
        <v>7111627.243400004</v>
      </c>
      <c r="J24" s="16">
        <f t="shared" si="2"/>
        <v>980637.4076000003</v>
      </c>
      <c r="K24" s="16">
        <f t="shared" si="3"/>
        <v>2451593.519000001</v>
      </c>
    </row>
    <row r="25" spans="1:11" ht="12.75">
      <c r="A25" s="3">
        <v>39114</v>
      </c>
      <c r="B25" s="16">
        <v>302949767.72999996</v>
      </c>
      <c r="C25" s="16">
        <f t="shared" si="0"/>
        <v>278244496.52</v>
      </c>
      <c r="D25" s="16">
        <v>24705271.21</v>
      </c>
      <c r="E25" s="17">
        <f>114996/28</f>
        <v>4107</v>
      </c>
      <c r="F25" s="16">
        <v>214.83591785801246</v>
      </c>
      <c r="H25" s="16">
        <v>14082004.569999998</v>
      </c>
      <c r="I25" s="16">
        <f t="shared" si="1"/>
        <v>7164528.670600002</v>
      </c>
      <c r="J25" s="16">
        <f t="shared" si="2"/>
        <v>988210.8484</v>
      </c>
      <c r="K25" s="16">
        <f t="shared" si="3"/>
        <v>2470527.1210000003</v>
      </c>
    </row>
    <row r="26" spans="1:11" ht="12.75">
      <c r="A26" s="3">
        <v>39142</v>
      </c>
      <c r="B26" s="16">
        <v>380707020.84999985</v>
      </c>
      <c r="C26" s="16">
        <f t="shared" si="0"/>
        <v>349758154.93799984</v>
      </c>
      <c r="D26" s="16">
        <v>30948865.911999997</v>
      </c>
      <c r="E26" s="17">
        <f>154737/31</f>
        <v>4991.5161290322585</v>
      </c>
      <c r="F26" s="16">
        <v>200.00947357128544</v>
      </c>
      <c r="H26" s="16">
        <v>17640853.54</v>
      </c>
      <c r="I26" s="16">
        <f t="shared" si="1"/>
        <v>8975171.144319998</v>
      </c>
      <c r="J26" s="16">
        <f t="shared" si="2"/>
        <v>1237954.6364799999</v>
      </c>
      <c r="K26" s="16">
        <f t="shared" si="3"/>
        <v>3094886.5911999997</v>
      </c>
    </row>
    <row r="27" spans="1:11" ht="13.5" thickBot="1">
      <c r="A27" s="3" t="s">
        <v>19</v>
      </c>
      <c r="B27" s="18">
        <f>SUM(B15:B26)</f>
        <v>1626578728.8999999</v>
      </c>
      <c r="C27" s="18">
        <f>SUM(C15:C26)</f>
        <v>1496475524.6679997</v>
      </c>
      <c r="D27" s="18">
        <f>SUM(D15:D26)</f>
        <v>130103204.23200002</v>
      </c>
      <c r="H27" s="18">
        <f>SUM(H15:H26)</f>
        <v>72658826.4042</v>
      </c>
      <c r="I27" s="18">
        <f>SUM(I15:I26)</f>
        <v>39229929.23532</v>
      </c>
      <c r="J27" s="18">
        <f>SUM(J15:J26)</f>
        <v>5204128.16928</v>
      </c>
      <c r="K27" s="18">
        <f>SUM(K15:K26)</f>
        <v>13010320.423200002</v>
      </c>
    </row>
    <row r="28" spans="2:11" ht="10.5" customHeight="1" thickTop="1">
      <c r="B28" s="19"/>
      <c r="C28" s="19"/>
      <c r="D28" s="19"/>
      <c r="H28" s="19"/>
      <c r="I28" s="19"/>
      <c r="J28" s="19"/>
      <c r="K28" s="19"/>
    </row>
    <row r="29" spans="1:11" s="22" customFormat="1" ht="12.75">
      <c r="A29" s="20"/>
      <c r="B29" s="21"/>
      <c r="C29" s="21">
        <f>C27/B27</f>
        <v>0.9200141979478703</v>
      </c>
      <c r="D29" s="21">
        <f>D27/B27</f>
        <v>0.07998580205212964</v>
      </c>
      <c r="H29" s="21">
        <f>H27/$D$27</f>
        <v>0.5584706912724055</v>
      </c>
      <c r="I29" s="21">
        <f>I27/$D$27</f>
        <v>0.3015293087275944</v>
      </c>
      <c r="J29" s="21">
        <f>J27/$D$27</f>
        <v>0.039999999999999994</v>
      </c>
      <c r="K29" s="21">
        <f>K27/$D$27</f>
        <v>0.09999999999999999</v>
      </c>
    </row>
    <row r="31" spans="1:11" s="23" customFormat="1" ht="12.75">
      <c r="A31" s="135" t="s">
        <v>20</v>
      </c>
      <c r="B31" s="136"/>
      <c r="C31" s="136"/>
      <c r="D31" s="136"/>
      <c r="E31" s="136"/>
      <c r="F31" s="136"/>
      <c r="G31" s="136"/>
      <c r="H31" s="136"/>
      <c r="I31" s="136"/>
      <c r="J31" s="136"/>
      <c r="K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22</v>
      </c>
      <c r="B36" s="26"/>
      <c r="C36" s="26" t="s">
        <v>23</v>
      </c>
      <c r="E36" s="26"/>
      <c r="F36" s="26"/>
      <c r="G36" s="26"/>
      <c r="H36" s="26"/>
      <c r="I36" s="26"/>
      <c r="J36" s="26"/>
      <c r="K36" s="26"/>
    </row>
    <row r="37" spans="1:11" ht="6" customHeight="1">
      <c r="A37" s="25"/>
      <c r="B37" s="26"/>
      <c r="C37" s="26"/>
      <c r="E37" s="26"/>
      <c r="F37" s="26"/>
      <c r="G37" s="26"/>
      <c r="H37" s="26"/>
      <c r="I37" s="26"/>
      <c r="J37" s="26"/>
      <c r="K37" s="26"/>
    </row>
    <row r="38" spans="1:11" ht="12.75">
      <c r="A38" s="25" t="s">
        <v>24</v>
      </c>
      <c r="B38" s="26"/>
      <c r="C38" s="26" t="s">
        <v>25</v>
      </c>
      <c r="E38" s="27"/>
      <c r="F38" s="26"/>
      <c r="G38" s="26"/>
      <c r="H38" s="26"/>
      <c r="I38" s="26"/>
      <c r="J38" s="26"/>
      <c r="K38" s="26"/>
    </row>
    <row r="39" spans="1:11" ht="12.75">
      <c r="A39" s="25"/>
      <c r="B39" s="26"/>
      <c r="C39" s="26" t="s">
        <v>26</v>
      </c>
      <c r="E39" s="27"/>
      <c r="F39" s="26"/>
      <c r="G39" s="26"/>
      <c r="H39" s="26"/>
      <c r="I39" s="26"/>
      <c r="J39" s="26"/>
      <c r="K39" s="26"/>
    </row>
    <row r="40" spans="1:11" ht="6" customHeight="1">
      <c r="A40" s="25"/>
      <c r="B40" s="26"/>
      <c r="C40" s="26"/>
      <c r="E40" s="27"/>
      <c r="F40" s="26"/>
      <c r="G40" s="26"/>
      <c r="H40" s="26"/>
      <c r="I40" s="26"/>
      <c r="J40" s="26"/>
      <c r="K40" s="26"/>
    </row>
    <row r="41" spans="1:11" ht="12.75">
      <c r="A41" s="25" t="s">
        <v>27</v>
      </c>
      <c r="B41" s="26"/>
      <c r="C41" s="26" t="s">
        <v>28</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29</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79</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9"/>
      <c r="B52" s="30"/>
      <c r="C52" s="30"/>
      <c r="D52" s="30"/>
      <c r="E52" s="31"/>
      <c r="F52" s="30"/>
      <c r="G52" s="30"/>
      <c r="H52" s="30"/>
      <c r="I52" s="30"/>
      <c r="J52" s="30"/>
      <c r="K52" s="30"/>
    </row>
    <row r="53" spans="1:11" s="23" customFormat="1" ht="12.75">
      <c r="A53" s="135" t="s">
        <v>30</v>
      </c>
      <c r="B53" s="136"/>
      <c r="C53" s="136"/>
      <c r="D53" s="136"/>
      <c r="E53" s="136"/>
      <c r="F53" s="136"/>
      <c r="G53" s="136"/>
      <c r="H53" s="136"/>
      <c r="I53" s="136"/>
      <c r="J53" s="136"/>
      <c r="K53" s="137"/>
    </row>
    <row r="54" ht="12.75">
      <c r="A54" s="24"/>
    </row>
    <row r="55" spans="1:11" ht="13.5">
      <c r="A55" s="32"/>
      <c r="F55" s="10" t="s">
        <v>8</v>
      </c>
      <c r="G55" s="33"/>
      <c r="H55" s="10" t="s">
        <v>74</v>
      </c>
      <c r="I55" s="10" t="s">
        <v>9</v>
      </c>
      <c r="J55" s="54" t="s">
        <v>75</v>
      </c>
      <c r="K55" s="34"/>
    </row>
    <row r="56" spans="1:11" ht="12.75">
      <c r="A56" s="35"/>
      <c r="F56" s="8" t="s">
        <v>16</v>
      </c>
      <c r="G56" s="36"/>
      <c r="H56" s="8" t="s">
        <v>17</v>
      </c>
      <c r="I56" s="8" t="s">
        <v>18</v>
      </c>
      <c r="J56" s="55" t="s">
        <v>76</v>
      </c>
      <c r="K56" s="34"/>
    </row>
    <row r="57" spans="2:11" ht="12.75">
      <c r="B57" s="37" t="s">
        <v>31</v>
      </c>
      <c r="C57" s="37"/>
      <c r="D57" s="26"/>
      <c r="E57" s="27"/>
      <c r="F57" s="38">
        <v>0.54</v>
      </c>
      <c r="G57" s="26"/>
      <c r="H57" s="38">
        <v>0.32</v>
      </c>
      <c r="I57" s="38">
        <v>0.04</v>
      </c>
      <c r="J57" s="38">
        <v>0.1</v>
      </c>
      <c r="K57" s="39"/>
    </row>
    <row r="58" spans="2:11" ht="12.75">
      <c r="B58" s="37" t="s">
        <v>32</v>
      </c>
      <c r="C58" s="37"/>
      <c r="D58" s="26"/>
      <c r="E58" s="27"/>
      <c r="F58" s="38">
        <v>0.57</v>
      </c>
      <c r="G58" s="26"/>
      <c r="H58" s="38">
        <v>0.29</v>
      </c>
      <c r="I58" s="38">
        <v>0.04</v>
      </c>
      <c r="J58" s="38">
        <v>0.1</v>
      </c>
      <c r="K58" s="39"/>
    </row>
    <row r="59" spans="2:11" ht="12.75">
      <c r="B59" s="37" t="s">
        <v>33</v>
      </c>
      <c r="C59" s="37"/>
      <c r="D59" s="26"/>
      <c r="E59" s="27"/>
      <c r="F59" s="38">
        <v>0.57</v>
      </c>
      <c r="G59" s="26"/>
      <c r="H59" s="38">
        <v>0.29</v>
      </c>
      <c r="I59" s="38">
        <v>0.04</v>
      </c>
      <c r="J59" s="38">
        <v>0.1</v>
      </c>
      <c r="K59" s="39"/>
    </row>
    <row r="60" spans="2:11" ht="12.75">
      <c r="B60" s="37" t="s">
        <v>34</v>
      </c>
      <c r="C60" s="37"/>
      <c r="D60" s="26"/>
      <c r="E60" s="27"/>
      <c r="F60" s="38">
        <v>0.6</v>
      </c>
      <c r="G60" s="26"/>
      <c r="H60" s="38">
        <v>0.26</v>
      </c>
      <c r="I60" s="38">
        <v>0.04</v>
      </c>
      <c r="J60" s="38">
        <v>0.1</v>
      </c>
      <c r="K60" s="39"/>
    </row>
    <row r="61" ht="12.75">
      <c r="A61" s="24"/>
    </row>
    <row r="62" spans="2:3" ht="12.75">
      <c r="B62" s="24"/>
      <c r="C62" s="24"/>
    </row>
    <row r="64" ht="12.75">
      <c r="A64" s="24" t="s">
        <v>35</v>
      </c>
    </row>
  </sheetData>
  <sheetProtection/>
  <mergeCells count="9">
    <mergeCell ref="A31:K31"/>
    <mergeCell ref="A53:K53"/>
    <mergeCell ref="A2:K2"/>
    <mergeCell ref="A1:K1"/>
    <mergeCell ref="A5:K5"/>
    <mergeCell ref="H10:K10"/>
    <mergeCell ref="A8:K8"/>
    <mergeCell ref="A4:K4"/>
    <mergeCell ref="A3:K3"/>
  </mergeCells>
  <hyperlinks>
    <hyperlink ref="A4" r:id="rId1" display="www.yonkersraceway.com"/>
  </hyperlinks>
  <printOptions horizontalCentered="1"/>
  <pageMargins left="0.25" right="0.25" top="0.75" bottom="0.5" header="0.5" footer="0.5"/>
  <pageSetup fitToHeight="1" fitToWidth="1" horizontalDpi="600" verticalDpi="600" orientation="portrait"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68"/>
  <sheetViews>
    <sheetView zoomScale="90" zoomScaleNormal="90" zoomScalePageLayoutView="0" workbookViewId="0" topLeftCell="A1">
      <selection activeCell="I26" sqref="I26:K26"/>
    </sheetView>
  </sheetViews>
  <sheetFormatPr defaultColWidth="9.140625" defaultRowHeight="12.75"/>
  <cols>
    <col min="1" max="1" width="9.28125" style="66" customWidth="1"/>
    <col min="2" max="2" width="15.57421875" style="64" bestFit="1" customWidth="1"/>
    <col min="3" max="3" width="12.7109375" style="64" customWidth="1"/>
    <col min="4" max="4" width="15.57421875" style="64" bestFit="1" customWidth="1"/>
    <col min="5" max="5" width="13.8515625" style="64" customWidth="1"/>
    <col min="6" max="6" width="10.57421875" style="65" customWidth="1"/>
    <col min="7" max="7" width="10.57421875" style="64" customWidth="1"/>
    <col min="8" max="8" width="2.7109375" style="64" customWidth="1"/>
    <col min="9" max="9" width="13.8515625" style="64" bestFit="1" customWidth="1"/>
    <col min="10" max="10" width="13.00390625" style="64" customWidth="1"/>
    <col min="11" max="11" width="13.8515625" style="64" bestFit="1" customWidth="1"/>
    <col min="12" max="12" width="14.421875" style="63" bestFit="1" customWidth="1"/>
    <col min="13" max="16384" width="9.140625" style="63" customWidth="1"/>
  </cols>
  <sheetData>
    <row r="1" spans="1:11" ht="18">
      <c r="A1" s="123" t="s">
        <v>50</v>
      </c>
      <c r="B1" s="123"/>
      <c r="C1" s="123"/>
      <c r="D1" s="123"/>
      <c r="E1" s="123"/>
      <c r="F1" s="123"/>
      <c r="G1" s="123"/>
      <c r="H1" s="123"/>
      <c r="I1" s="123"/>
      <c r="J1" s="123"/>
      <c r="K1" s="123"/>
    </row>
    <row r="2" spans="1:11" ht="15">
      <c r="A2" s="124" t="s">
        <v>0</v>
      </c>
      <c r="B2" s="124"/>
      <c r="C2" s="124"/>
      <c r="D2" s="124"/>
      <c r="E2" s="124"/>
      <c r="F2" s="124"/>
      <c r="G2" s="124"/>
      <c r="H2" s="124"/>
      <c r="I2" s="124"/>
      <c r="J2" s="124"/>
      <c r="K2" s="124"/>
    </row>
    <row r="3" spans="1:11" s="103" customFormat="1" ht="15">
      <c r="A3" s="124" t="s">
        <v>1</v>
      </c>
      <c r="B3" s="124"/>
      <c r="C3" s="124"/>
      <c r="D3" s="124"/>
      <c r="E3" s="124"/>
      <c r="F3" s="124"/>
      <c r="G3" s="124"/>
      <c r="H3" s="124"/>
      <c r="I3" s="124"/>
      <c r="J3" s="124"/>
      <c r="K3" s="124"/>
    </row>
    <row r="4" spans="1:11" s="103" customFormat="1" ht="14.25">
      <c r="A4" s="125" t="s">
        <v>2</v>
      </c>
      <c r="B4" s="125"/>
      <c r="C4" s="125"/>
      <c r="D4" s="125"/>
      <c r="E4" s="125"/>
      <c r="F4" s="125"/>
      <c r="G4" s="125"/>
      <c r="H4" s="125"/>
      <c r="I4" s="125"/>
      <c r="J4" s="125"/>
      <c r="K4" s="125"/>
    </row>
    <row r="5" spans="1:11" s="103" customFormat="1" ht="14.25">
      <c r="A5" s="126" t="s">
        <v>3</v>
      </c>
      <c r="B5" s="126"/>
      <c r="C5" s="126"/>
      <c r="D5" s="126"/>
      <c r="E5" s="126"/>
      <c r="F5" s="126"/>
      <c r="G5" s="126"/>
      <c r="H5" s="126"/>
      <c r="I5" s="126"/>
      <c r="J5" s="126"/>
      <c r="K5" s="126"/>
    </row>
    <row r="6" spans="1:11" s="103" customFormat="1" ht="14.25">
      <c r="A6" s="108"/>
      <c r="B6" s="108"/>
      <c r="C6" s="108"/>
      <c r="D6" s="108"/>
      <c r="E6" s="108"/>
      <c r="F6" s="108"/>
      <c r="G6" s="108"/>
      <c r="H6" s="108"/>
      <c r="I6" s="108"/>
      <c r="J6" s="108"/>
      <c r="K6" s="108"/>
    </row>
    <row r="7" spans="1:11" s="103" customFormat="1" ht="12.75">
      <c r="A7" s="66"/>
      <c r="B7" s="106"/>
      <c r="C7" s="106"/>
      <c r="D7" s="106"/>
      <c r="E7" s="104"/>
      <c r="F7" s="105"/>
      <c r="G7" s="104"/>
      <c r="H7" s="104"/>
      <c r="I7" s="104"/>
      <c r="J7" s="104"/>
      <c r="K7" s="104"/>
    </row>
    <row r="8" spans="1:11" s="107" customFormat="1" ht="14.25" customHeight="1">
      <c r="A8" s="117" t="s">
        <v>114</v>
      </c>
      <c r="B8" s="118"/>
      <c r="C8" s="118"/>
      <c r="D8" s="118"/>
      <c r="E8" s="118"/>
      <c r="F8" s="118"/>
      <c r="G8" s="118"/>
      <c r="H8" s="118"/>
      <c r="I8" s="118"/>
      <c r="J8" s="118"/>
      <c r="K8" s="118"/>
    </row>
    <row r="9" spans="1:11" s="103" customFormat="1" ht="9" customHeight="1">
      <c r="A9" s="66"/>
      <c r="B9" s="106"/>
      <c r="C9" s="106"/>
      <c r="D9" s="106"/>
      <c r="E9" s="104"/>
      <c r="F9" s="105"/>
      <c r="G9" s="104"/>
      <c r="H9" s="104"/>
      <c r="I9" s="104"/>
      <c r="J9" s="104"/>
      <c r="K9" s="104"/>
    </row>
    <row r="10" spans="1:11" s="103" customFormat="1" ht="12.75">
      <c r="A10" s="66"/>
      <c r="B10" s="104"/>
      <c r="C10" s="104"/>
      <c r="D10" s="104"/>
      <c r="E10" s="104"/>
      <c r="F10" s="105"/>
      <c r="G10" s="104"/>
      <c r="H10" s="104"/>
      <c r="I10" s="116" t="s">
        <v>4</v>
      </c>
      <c r="J10" s="116"/>
      <c r="K10" s="116"/>
    </row>
    <row r="11" spans="1:11" s="103" customFormat="1" ht="12.75">
      <c r="A11" s="66"/>
      <c r="B11" s="104"/>
      <c r="C11" s="104"/>
      <c r="D11" s="104"/>
      <c r="E11" s="104"/>
      <c r="F11" s="105"/>
      <c r="G11" s="104"/>
      <c r="H11" s="104"/>
      <c r="I11" s="104"/>
      <c r="J11" s="104"/>
      <c r="K11" s="104"/>
    </row>
    <row r="12" spans="1:11" s="97" customFormat="1" ht="12">
      <c r="A12" s="102"/>
      <c r="B12" s="82" t="s">
        <v>5</v>
      </c>
      <c r="C12" s="82" t="s">
        <v>65</v>
      </c>
      <c r="D12" s="82" t="s">
        <v>5</v>
      </c>
      <c r="E12" s="82"/>
      <c r="F12" s="101" t="s">
        <v>6</v>
      </c>
      <c r="G12" s="82" t="s">
        <v>7</v>
      </c>
      <c r="H12" s="82"/>
      <c r="I12" s="82" t="s">
        <v>8</v>
      </c>
      <c r="J12" s="54" t="s">
        <v>75</v>
      </c>
      <c r="K12" s="82" t="s">
        <v>74</v>
      </c>
    </row>
    <row r="13" spans="1:11" s="97" customFormat="1" ht="12">
      <c r="A13" s="100" t="s">
        <v>10</v>
      </c>
      <c r="B13" s="78" t="s">
        <v>11</v>
      </c>
      <c r="C13" s="78" t="s">
        <v>18</v>
      </c>
      <c r="D13" s="78" t="s">
        <v>12</v>
      </c>
      <c r="E13" s="78" t="s">
        <v>13</v>
      </c>
      <c r="F13" s="99" t="s">
        <v>14</v>
      </c>
      <c r="G13" s="78" t="s">
        <v>15</v>
      </c>
      <c r="H13" s="98"/>
      <c r="I13" s="78" t="s">
        <v>16</v>
      </c>
      <c r="J13" s="55" t="s">
        <v>76</v>
      </c>
      <c r="K13" s="78" t="s">
        <v>17</v>
      </c>
    </row>
    <row r="15" spans="1:11" ht="12.75">
      <c r="A15" s="66">
        <v>44652</v>
      </c>
      <c r="B15" s="64">
        <v>818400543.9199998</v>
      </c>
      <c r="C15" s="64">
        <v>3152876.48</v>
      </c>
      <c r="D15" s="64">
        <f aca="true" t="shared" si="0" ref="D15:D26">IF(ISBLANK(B15),"",B15-C15-E15)</f>
        <v>760526729.2899998</v>
      </c>
      <c r="E15" s="64">
        <v>54720938.15000002</v>
      </c>
      <c r="F15" s="65">
        <v>4630</v>
      </c>
      <c r="G15" s="64">
        <f>_xlfn.IFERROR((E15/F15/30)," ")</f>
        <v>393.9592379409649</v>
      </c>
      <c r="I15" s="64">
        <v>27634073.759999994</v>
      </c>
      <c r="J15" s="64">
        <v>5472093.830000001</v>
      </c>
      <c r="K15" s="64">
        <v>21614770.569999997</v>
      </c>
    </row>
    <row r="16" spans="1:12" ht="12.75">
      <c r="A16" s="66">
        <v>44682</v>
      </c>
      <c r="B16" s="64">
        <v>811246803.9799999</v>
      </c>
      <c r="C16" s="64">
        <v>3016066.87</v>
      </c>
      <c r="D16" s="64">
        <f t="shared" si="0"/>
        <v>754917998.3399999</v>
      </c>
      <c r="E16" s="64">
        <v>53312738.76999999</v>
      </c>
      <c r="F16" s="65">
        <v>4602</v>
      </c>
      <c r="G16" s="64">
        <f>_xlfn.IFERROR((E16/F16/31)," ")</f>
        <v>373.6996451052136</v>
      </c>
      <c r="I16" s="64">
        <v>26922933.080000006</v>
      </c>
      <c r="J16" s="64">
        <v>5331273.9</v>
      </c>
      <c r="K16" s="64">
        <v>21058531.78</v>
      </c>
      <c r="L16" s="112"/>
    </row>
    <row r="17" spans="1:12" ht="12.75">
      <c r="A17" s="66">
        <v>44713</v>
      </c>
      <c r="B17" s="64">
        <v>748790469.9600003</v>
      </c>
      <c r="C17" s="64">
        <v>2310135.8800000004</v>
      </c>
      <c r="D17" s="64">
        <f>IF(ISBLANK(B17),"",B17-C17-E17)</f>
        <v>697226108.6400002</v>
      </c>
      <c r="E17" s="64">
        <v>49254225.44000001</v>
      </c>
      <c r="F17" s="65">
        <v>4629</v>
      </c>
      <c r="G17" s="64">
        <f aca="true" t="shared" si="1" ref="G17:G22">_xlfn.IFERROR((E17/F17/30)," ")</f>
        <v>354.6786594656875</v>
      </c>
      <c r="I17" s="64">
        <v>24873383.84</v>
      </c>
      <c r="J17" s="64">
        <v>4925422.569999998</v>
      </c>
      <c r="K17" s="64">
        <v>19455419.039999995</v>
      </c>
      <c r="L17" s="112"/>
    </row>
    <row r="18" spans="1:12" ht="12.75">
      <c r="A18" s="66">
        <v>44743</v>
      </c>
      <c r="B18" s="64">
        <v>826201786.9499999</v>
      </c>
      <c r="C18" s="64">
        <v>3236189.850000001</v>
      </c>
      <c r="D18" s="64">
        <f>IF(ISBLANK(B18),"",B18-C18-E18)</f>
        <v>769671953.8599999</v>
      </c>
      <c r="E18" s="64">
        <v>53293643.239999995</v>
      </c>
      <c r="F18" s="65">
        <v>4622</v>
      </c>
      <c r="G18" s="64">
        <f>_xlfn.IFERROR((E18/F18/31)," ")</f>
        <v>371.94932538630115</v>
      </c>
      <c r="I18" s="64">
        <v>26913289.849999998</v>
      </c>
      <c r="J18" s="64">
        <v>5329364.36</v>
      </c>
      <c r="K18" s="64">
        <v>21050989.080000006</v>
      </c>
      <c r="L18" s="112"/>
    </row>
    <row r="19" spans="1:12" ht="12.75">
      <c r="A19" s="66">
        <v>44774</v>
      </c>
      <c r="B19" s="64">
        <v>783887694.23</v>
      </c>
      <c r="C19" s="64">
        <v>3358957.4699999993</v>
      </c>
      <c r="D19" s="64">
        <f>IF(ISBLANK(B19),"",B19-C19-E19)</f>
        <v>730928687.38</v>
      </c>
      <c r="E19" s="64">
        <v>49600049.38</v>
      </c>
      <c r="F19" s="65">
        <v>4608</v>
      </c>
      <c r="G19" s="64">
        <f>_xlfn.IFERROR((E19/F19/31)," ")</f>
        <v>347.2225679043459</v>
      </c>
      <c r="I19" s="64">
        <v>25048024.930000003</v>
      </c>
      <c r="J19" s="64">
        <v>4960004.94</v>
      </c>
      <c r="K19" s="64">
        <v>19592019.51</v>
      </c>
      <c r="L19" s="112"/>
    </row>
    <row r="20" spans="1:12" ht="12.75">
      <c r="A20" s="66">
        <v>44805</v>
      </c>
      <c r="B20" s="71">
        <v>788231616.48</v>
      </c>
      <c r="C20" s="64">
        <v>3714315.94</v>
      </c>
      <c r="D20" s="64">
        <f t="shared" si="0"/>
        <v>734120481.5699999</v>
      </c>
      <c r="E20" s="64">
        <v>50396818.97</v>
      </c>
      <c r="F20" s="65">
        <v>4566.166666666667</v>
      </c>
      <c r="G20" s="64">
        <f t="shared" si="1"/>
        <v>367.9002735335986</v>
      </c>
      <c r="I20" s="64">
        <v>25450393.56</v>
      </c>
      <c r="J20" s="64">
        <v>5039681.900000001</v>
      </c>
      <c r="K20" s="64">
        <v>19906743.509999998</v>
      </c>
      <c r="L20" s="112"/>
    </row>
    <row r="21" spans="1:11" ht="12.75">
      <c r="A21" s="66">
        <v>44835</v>
      </c>
      <c r="B21" s="64">
        <v>801127033.5599998</v>
      </c>
      <c r="C21" s="64">
        <v>5458073.02</v>
      </c>
      <c r="D21" s="64">
        <f t="shared" si="0"/>
        <v>744487838.6899998</v>
      </c>
      <c r="E21" s="64">
        <v>51181121.85000002</v>
      </c>
      <c r="F21" s="65">
        <v>4587</v>
      </c>
      <c r="G21" s="64">
        <f>_xlfn.IFERROR((E21/F21/31)," ")</f>
        <v>359.93109453785956</v>
      </c>
      <c r="I21" s="64">
        <v>25846466.54</v>
      </c>
      <c r="J21" s="64">
        <v>5118112.210000001</v>
      </c>
      <c r="K21" s="64">
        <v>20216543.12</v>
      </c>
    </row>
    <row r="22" spans="1:11" ht="12.75">
      <c r="A22" s="66">
        <v>44866</v>
      </c>
      <c r="B22" s="64">
        <v>727148656.6400001</v>
      </c>
      <c r="C22" s="64">
        <v>3505888.99</v>
      </c>
      <c r="D22" s="64">
        <f t="shared" si="0"/>
        <v>676929264.9200001</v>
      </c>
      <c r="E22" s="64">
        <v>46713502.73</v>
      </c>
      <c r="F22" s="65">
        <v>4585</v>
      </c>
      <c r="G22" s="64">
        <f t="shared" si="1"/>
        <v>339.6110703744093</v>
      </c>
      <c r="I22" s="64">
        <v>23590318.91</v>
      </c>
      <c r="J22" s="64">
        <v>4671350.309999999</v>
      </c>
      <c r="K22" s="64">
        <v>18451833.550000004</v>
      </c>
    </row>
    <row r="23" spans="1:11" ht="12.75">
      <c r="A23" s="66">
        <v>44896</v>
      </c>
      <c r="B23" s="64">
        <v>745125968.16</v>
      </c>
      <c r="C23" s="64">
        <v>2318745.8799999994</v>
      </c>
      <c r="D23" s="64">
        <f t="shared" si="0"/>
        <v>693249669.54</v>
      </c>
      <c r="E23" s="64">
        <v>49557552.74000002</v>
      </c>
      <c r="F23" s="65">
        <v>4567</v>
      </c>
      <c r="G23" s="64">
        <f>_xlfn.IFERROR((E23/F23/31)," ")</f>
        <v>350.0395738008294</v>
      </c>
      <c r="I23" s="64">
        <v>25026564.12</v>
      </c>
      <c r="J23" s="64">
        <v>4955755.299999999</v>
      </c>
      <c r="K23" s="64">
        <v>19575233.360000007</v>
      </c>
    </row>
    <row r="24" spans="1:11" ht="12.75">
      <c r="A24" s="66">
        <v>44927</v>
      </c>
      <c r="B24" s="64">
        <v>771083415.6599998</v>
      </c>
      <c r="C24" s="64">
        <v>2901154.5200000005</v>
      </c>
      <c r="D24" s="64">
        <f t="shared" si="0"/>
        <v>716009921.7299999</v>
      </c>
      <c r="E24" s="64">
        <v>52172339.41</v>
      </c>
      <c r="F24" s="65">
        <v>4541</v>
      </c>
      <c r="G24" s="64">
        <f>_xlfn.IFERROR((E24/F24/31)," ")</f>
        <v>370.6185180896633</v>
      </c>
      <c r="I24" s="64">
        <v>26347031.410000004</v>
      </c>
      <c r="J24" s="64">
        <v>5217233.99</v>
      </c>
      <c r="K24" s="64">
        <v>20608074.07</v>
      </c>
    </row>
    <row r="25" spans="1:11" ht="12.75">
      <c r="A25" s="66">
        <v>44958</v>
      </c>
      <c r="B25" s="64">
        <v>737106260.23</v>
      </c>
      <c r="C25" s="64">
        <v>2917104.96</v>
      </c>
      <c r="D25" s="64">
        <f>IF(ISBLANK(B25),"",B25-C25-E25)</f>
        <v>684840290.45</v>
      </c>
      <c r="E25" s="64">
        <v>49348864.819999985</v>
      </c>
      <c r="F25" s="65">
        <v>4539</v>
      </c>
      <c r="G25" s="64">
        <f>_xlfn.IFERROR((E25/F25/28)," ")</f>
        <v>388.29245601611416</v>
      </c>
      <c r="I25" s="64">
        <v>24921176.739999995</v>
      </c>
      <c r="J25" s="64">
        <v>4934886.47</v>
      </c>
      <c r="K25" s="64">
        <v>19492801.59</v>
      </c>
    </row>
    <row r="26" spans="1:11" ht="12.75">
      <c r="A26" s="66">
        <v>44986</v>
      </c>
      <c r="B26" s="64">
        <v>819938992.9199998</v>
      </c>
      <c r="C26" s="64">
        <v>3705394.91</v>
      </c>
      <c r="D26" s="64">
        <f t="shared" si="0"/>
        <v>762164503.9399998</v>
      </c>
      <c r="E26" s="64">
        <v>54069094.06999999</v>
      </c>
      <c r="F26" s="65">
        <v>4506</v>
      </c>
      <c r="G26" s="64">
        <f>_xlfn.IFERROR((E26/F26/31)," ")</f>
        <v>387.0759708918574</v>
      </c>
      <c r="I26" s="64">
        <v>27304892.530000005</v>
      </c>
      <c r="J26" s="64">
        <v>5406909.429999999</v>
      </c>
      <c r="K26" s="64">
        <v>21357292.169999998</v>
      </c>
    </row>
    <row r="27" spans="1:11" ht="13.5" thickBot="1">
      <c r="A27" s="96" t="s">
        <v>19</v>
      </c>
      <c r="B27" s="93">
        <f>SUM(B15:B26)</f>
        <v>9378289242.689999</v>
      </c>
      <c r="C27" s="93">
        <f>SUM(C15:C26)</f>
        <v>39594904.769999996</v>
      </c>
      <c r="D27" s="93">
        <f>SUM(D15:D26)</f>
        <v>8725073448.349998</v>
      </c>
      <c r="E27" s="93">
        <f>SUM(E15:E26)</f>
        <v>613620889.5699999</v>
      </c>
      <c r="F27" s="62">
        <f>AVERAGE(F15:F26)</f>
        <v>4581.847222222223</v>
      </c>
      <c r="G27" s="61">
        <f>AVERAGE(G15:G26)</f>
        <v>367.08153275390373</v>
      </c>
      <c r="H27" s="94"/>
      <c r="I27" s="93">
        <f>SUM(I15:I26)</f>
        <v>309878549.27000004</v>
      </c>
      <c r="J27" s="93">
        <f>SUM(J15:J26)</f>
        <v>61362089.21000001</v>
      </c>
      <c r="K27" s="93">
        <f>SUM(K15:K26)</f>
        <v>242380251.35000002</v>
      </c>
    </row>
    <row r="28" spans="2:11" ht="10.5" customHeight="1" thickTop="1">
      <c r="B28" s="92"/>
      <c r="C28" s="92"/>
      <c r="D28" s="92"/>
      <c r="E28" s="92"/>
      <c r="I28" s="92"/>
      <c r="J28" s="92"/>
      <c r="K28" s="92"/>
    </row>
    <row r="29" spans="1:11" s="89" customFormat="1" ht="12.75">
      <c r="A29" s="91"/>
      <c r="B29" s="90"/>
      <c r="C29" s="90">
        <f>_xlfn.IFERROR(C27/B27,"")</f>
        <v>0.004221975218013524</v>
      </c>
      <c r="D29" s="90">
        <f>_xlfn.IFERROR(D27/B27,"")</f>
        <v>0.9303480861555687</v>
      </c>
      <c r="E29" s="90">
        <f>_xlfn.IFERROR(E27/B27,"")</f>
        <v>0.0654299386264177</v>
      </c>
      <c r="I29" s="90">
        <f>_xlfn.IFERROR(I27/$E$27,"")</f>
        <v>0.5050000000605424</v>
      </c>
      <c r="J29" s="90">
        <f>_xlfn.IFERROR(J27/$E$27,"")</f>
        <v>0.10000000041230672</v>
      </c>
      <c r="K29" s="90">
        <f>_xlfn.IFERROR(K27/$E$27,"")</f>
        <v>0.3949999999508655</v>
      </c>
    </row>
    <row r="31" spans="1:11" s="88" customFormat="1" ht="12.75">
      <c r="A31" s="117" t="s">
        <v>20</v>
      </c>
      <c r="B31" s="118"/>
      <c r="C31" s="118"/>
      <c r="D31" s="118"/>
      <c r="E31" s="118"/>
      <c r="F31" s="118"/>
      <c r="G31" s="118"/>
      <c r="H31" s="118"/>
      <c r="I31" s="118"/>
      <c r="J31" s="118"/>
      <c r="K31" s="118"/>
    </row>
    <row r="32" ht="12.75">
      <c r="A32" s="68"/>
    </row>
    <row r="33" spans="1:11" s="45" customFormat="1" ht="12.75" customHeight="1">
      <c r="A33" s="41" t="s">
        <v>21</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D35" s="110"/>
      <c r="E35" s="44"/>
      <c r="F35" s="44"/>
      <c r="G35" s="44"/>
      <c r="H35" s="44"/>
      <c r="I35" s="44"/>
      <c r="J35" s="44"/>
      <c r="K35" s="44"/>
    </row>
    <row r="36" spans="1:11" ht="12.75">
      <c r="A36" s="87" t="s">
        <v>90</v>
      </c>
      <c r="B36" s="71"/>
      <c r="C36" s="71" t="s">
        <v>80</v>
      </c>
      <c r="D36" s="71"/>
      <c r="E36" s="71"/>
      <c r="F36" s="71"/>
      <c r="G36" s="71"/>
      <c r="H36" s="71"/>
      <c r="I36" s="71"/>
      <c r="J36" s="71"/>
      <c r="K36" s="71"/>
    </row>
    <row r="37" spans="1:11" s="45" customFormat="1" ht="6" customHeight="1">
      <c r="A37" s="41"/>
      <c r="B37" s="42"/>
      <c r="C37" s="43"/>
      <c r="D37" s="110"/>
      <c r="E37" s="111"/>
      <c r="F37" s="43"/>
      <c r="G37" s="43"/>
      <c r="H37" s="43"/>
      <c r="I37" s="43"/>
      <c r="J37" s="42"/>
      <c r="K37" s="42"/>
    </row>
    <row r="38" spans="1:11" s="45" customFormat="1" ht="12.75">
      <c r="A38" s="41" t="s">
        <v>22</v>
      </c>
      <c r="B38" s="42"/>
      <c r="C38" s="43" t="s">
        <v>94</v>
      </c>
      <c r="D38" s="110"/>
      <c r="E38" s="111"/>
      <c r="F38" s="43"/>
      <c r="G38" s="43"/>
      <c r="H38" s="43"/>
      <c r="I38" s="43"/>
      <c r="J38" s="42"/>
      <c r="K38" s="42"/>
    </row>
    <row r="39" spans="1:11" s="45" customFormat="1" ht="6" customHeight="1">
      <c r="A39" s="41"/>
      <c r="B39" s="42"/>
      <c r="C39" s="43"/>
      <c r="D39" s="110"/>
      <c r="E39" s="111"/>
      <c r="F39" s="43"/>
      <c r="G39" s="43"/>
      <c r="H39" s="43"/>
      <c r="I39" s="43"/>
      <c r="J39" s="42"/>
      <c r="K39" s="42"/>
    </row>
    <row r="40" spans="1:11" s="45" customFormat="1" ht="12.75">
      <c r="A40" s="41" t="s">
        <v>24</v>
      </c>
      <c r="B40" s="42"/>
      <c r="C40" s="42" t="s">
        <v>54</v>
      </c>
      <c r="D40" s="110"/>
      <c r="E40" s="111"/>
      <c r="F40" s="47"/>
      <c r="G40" s="42"/>
      <c r="H40" s="42"/>
      <c r="I40" s="42"/>
      <c r="J40" s="42"/>
      <c r="K40" s="42"/>
    </row>
    <row r="41" spans="1:11" s="45" customFormat="1" ht="12.75">
      <c r="A41" s="41"/>
      <c r="B41" s="42"/>
      <c r="C41" s="42" t="s">
        <v>55</v>
      </c>
      <c r="D41" s="110"/>
      <c r="E41" s="111"/>
      <c r="F41" s="47"/>
      <c r="G41" s="42"/>
      <c r="H41" s="42"/>
      <c r="I41" s="42"/>
      <c r="J41" s="42"/>
      <c r="K41" s="42"/>
    </row>
    <row r="42" spans="1:11" s="45" customFormat="1" ht="6" customHeight="1">
      <c r="A42" s="41"/>
      <c r="B42" s="42"/>
      <c r="C42" s="42"/>
      <c r="D42" s="110"/>
      <c r="E42" s="111"/>
      <c r="F42" s="47"/>
      <c r="G42" s="42"/>
      <c r="H42" s="42"/>
      <c r="I42" s="42"/>
      <c r="J42" s="42"/>
      <c r="K42" s="42"/>
    </row>
    <row r="43" spans="1:11" s="45" customFormat="1" ht="12.75">
      <c r="A43" s="41" t="s">
        <v>27</v>
      </c>
      <c r="B43" s="42"/>
      <c r="C43" s="42" t="s">
        <v>28</v>
      </c>
      <c r="D43" s="110"/>
      <c r="E43" s="111"/>
      <c r="F43" s="47"/>
      <c r="G43" s="42"/>
      <c r="H43" s="42"/>
      <c r="I43" s="42"/>
      <c r="J43" s="42"/>
      <c r="K43" s="42"/>
    </row>
    <row r="44" spans="1:11" s="45" customFormat="1" ht="6" customHeight="1">
      <c r="A44" s="41"/>
      <c r="B44" s="42"/>
      <c r="C44" s="42"/>
      <c r="D44" s="110"/>
      <c r="E44" s="111"/>
      <c r="F44" s="47"/>
      <c r="G44" s="42"/>
      <c r="H44" s="42"/>
      <c r="I44" s="42"/>
      <c r="J44" s="42"/>
      <c r="K44" s="42"/>
    </row>
    <row r="45" spans="1:11" s="45" customFormat="1" ht="12.75">
      <c r="A45" s="41" t="s">
        <v>67</v>
      </c>
      <c r="B45" s="42"/>
      <c r="C45" s="42" t="s">
        <v>68</v>
      </c>
      <c r="D45" s="111"/>
      <c r="E45" s="47"/>
      <c r="F45" s="42"/>
      <c r="G45" s="42"/>
      <c r="H45" s="42"/>
      <c r="I45" s="42"/>
      <c r="J45" s="42"/>
      <c r="K45" s="42"/>
    </row>
    <row r="46" spans="1:11" s="45" customFormat="1" ht="12.75">
      <c r="A46" s="41"/>
      <c r="B46" s="42"/>
      <c r="C46" s="42" t="s">
        <v>77</v>
      </c>
      <c r="D46" s="111"/>
      <c r="E46" s="47"/>
      <c r="F46" s="42"/>
      <c r="G46" s="42"/>
      <c r="H46" s="42"/>
      <c r="I46" s="42"/>
      <c r="J46" s="42"/>
      <c r="K46" s="42"/>
    </row>
    <row r="47" spans="1:11" s="45" customFormat="1" ht="12.75">
      <c r="A47" s="41"/>
      <c r="B47" s="42"/>
      <c r="C47" s="42" t="s">
        <v>78</v>
      </c>
      <c r="D47" s="111"/>
      <c r="E47" s="47"/>
      <c r="F47" s="42"/>
      <c r="G47" s="42"/>
      <c r="H47" s="42"/>
      <c r="I47" s="42"/>
      <c r="J47" s="42"/>
      <c r="K47" s="42"/>
    </row>
    <row r="48" spans="1:11" s="45" customFormat="1" ht="3" customHeight="1">
      <c r="A48" s="41"/>
      <c r="B48" s="42"/>
      <c r="C48" s="42"/>
      <c r="D48" s="111"/>
      <c r="E48" s="47"/>
      <c r="F48" s="42"/>
      <c r="G48" s="42"/>
      <c r="H48" s="42"/>
      <c r="I48" s="42"/>
      <c r="J48" s="42"/>
      <c r="K48" s="42"/>
    </row>
    <row r="49" spans="1:11" s="45" customFormat="1" ht="12.75" customHeight="1">
      <c r="A49" s="41"/>
      <c r="B49" s="42"/>
      <c r="C49" s="43" t="s">
        <v>108</v>
      </c>
      <c r="D49" s="43"/>
      <c r="E49" s="43"/>
      <c r="F49" s="43"/>
      <c r="G49" s="43"/>
      <c r="H49" s="43"/>
      <c r="I49" s="43"/>
      <c r="J49" s="43"/>
      <c r="K49" s="43"/>
    </row>
    <row r="50" spans="1:11" s="45" customFormat="1" ht="12.75">
      <c r="A50" s="41"/>
      <c r="B50" s="42"/>
      <c r="C50" s="43" t="s">
        <v>107</v>
      </c>
      <c r="D50" s="43"/>
      <c r="E50" s="43"/>
      <c r="F50" s="43"/>
      <c r="G50" s="43"/>
      <c r="H50" s="43"/>
      <c r="I50" s="43"/>
      <c r="J50" s="43"/>
      <c r="K50" s="43"/>
    </row>
    <row r="51" spans="1:11" s="45" customFormat="1" ht="12.75">
      <c r="A51" s="41"/>
      <c r="B51" s="42"/>
      <c r="C51" s="43" t="s">
        <v>109</v>
      </c>
      <c r="D51" s="43"/>
      <c r="E51" s="43"/>
      <c r="F51" s="43"/>
      <c r="G51" s="43"/>
      <c r="H51" s="43"/>
      <c r="I51" s="43"/>
      <c r="J51" s="43"/>
      <c r="K51" s="43"/>
    </row>
    <row r="52" spans="1:11" s="45" customFormat="1" ht="6" customHeight="1">
      <c r="A52" s="41"/>
      <c r="B52" s="42"/>
      <c r="C52" s="42"/>
      <c r="D52" s="110"/>
      <c r="E52" s="111"/>
      <c r="F52" s="47"/>
      <c r="G52" s="42"/>
      <c r="H52" s="42"/>
      <c r="I52" s="42"/>
      <c r="J52" s="42"/>
      <c r="K52" s="42"/>
    </row>
    <row r="53" spans="1:11" s="45" customFormat="1" ht="12.75">
      <c r="A53" s="41" t="s">
        <v>79</v>
      </c>
      <c r="B53" s="42"/>
      <c r="C53" s="42" t="s">
        <v>72</v>
      </c>
      <c r="D53" s="111"/>
      <c r="E53" s="47"/>
      <c r="F53" s="42"/>
      <c r="G53" s="42"/>
      <c r="H53" s="42"/>
      <c r="I53" s="42"/>
      <c r="J53" s="42"/>
      <c r="K53" s="42"/>
    </row>
    <row r="54" spans="1:11" s="45" customFormat="1" ht="12.75">
      <c r="A54" s="48"/>
      <c r="B54" s="42"/>
      <c r="C54" s="42" t="s">
        <v>73</v>
      </c>
      <c r="D54" s="111"/>
      <c r="E54" s="47"/>
      <c r="F54" s="42"/>
      <c r="G54" s="42"/>
      <c r="H54" s="42"/>
      <c r="I54" s="42"/>
      <c r="J54" s="42"/>
      <c r="K54" s="42"/>
    </row>
    <row r="55" spans="1:11" ht="12.75">
      <c r="A55" s="86"/>
      <c r="B55" s="84"/>
      <c r="C55" s="84"/>
      <c r="D55" s="71"/>
      <c r="E55" s="84"/>
      <c r="F55" s="85"/>
      <c r="G55" s="84"/>
      <c r="H55" s="84"/>
      <c r="I55" s="84"/>
      <c r="J55" s="84"/>
      <c r="K55" s="84"/>
    </row>
    <row r="56" spans="1:11" ht="12.75">
      <c r="A56" s="117" t="s">
        <v>30</v>
      </c>
      <c r="B56" s="118"/>
      <c r="C56" s="118"/>
      <c r="D56" s="118"/>
      <c r="E56" s="118"/>
      <c r="F56" s="118"/>
      <c r="G56" s="118"/>
      <c r="H56" s="118"/>
      <c r="I56" s="118"/>
      <c r="J56" s="118"/>
      <c r="K56" s="118"/>
    </row>
    <row r="57" ht="12.75">
      <c r="A57" s="68"/>
    </row>
    <row r="58" spans="1:11" ht="13.5">
      <c r="A58" s="83"/>
      <c r="D58" s="82" t="s">
        <v>8</v>
      </c>
      <c r="E58" s="54" t="s">
        <v>75</v>
      </c>
      <c r="F58" s="116" t="s">
        <v>81</v>
      </c>
      <c r="G58" s="116"/>
      <c r="H58" s="116"/>
      <c r="I58" s="116"/>
      <c r="J58" s="63"/>
      <c r="K58" s="63"/>
    </row>
    <row r="59" spans="1:11" ht="12.75">
      <c r="A59" s="81"/>
      <c r="D59" s="78" t="s">
        <v>16</v>
      </c>
      <c r="E59" s="55" t="s">
        <v>76</v>
      </c>
      <c r="F59" s="78" t="s">
        <v>82</v>
      </c>
      <c r="G59" s="80" t="s">
        <v>83</v>
      </c>
      <c r="H59" s="79"/>
      <c r="I59" s="78" t="s">
        <v>84</v>
      </c>
      <c r="J59" s="63"/>
      <c r="K59" s="63"/>
    </row>
    <row r="60" spans="2:11" ht="12.75">
      <c r="B60" s="109"/>
      <c r="C60" s="109"/>
      <c r="D60" s="74">
        <v>0.505</v>
      </c>
      <c r="E60" s="74">
        <v>0.1</v>
      </c>
      <c r="F60" s="74">
        <v>0.295</v>
      </c>
      <c r="G60" s="76">
        <v>0.0875</v>
      </c>
      <c r="H60" s="75"/>
      <c r="I60" s="74">
        <v>0.0125</v>
      </c>
      <c r="J60" s="63"/>
      <c r="K60" s="63"/>
    </row>
    <row r="61" spans="2:11" ht="12.75">
      <c r="B61" s="73"/>
      <c r="C61" s="73"/>
      <c r="D61" s="73"/>
      <c r="E61" s="71"/>
      <c r="F61" s="72"/>
      <c r="G61" s="70"/>
      <c r="H61" s="71"/>
      <c r="I61" s="70"/>
      <c r="J61" s="70"/>
      <c r="K61" s="70"/>
    </row>
    <row r="62" spans="1:11" ht="13.5" customHeight="1">
      <c r="A62" s="119" t="s">
        <v>36</v>
      </c>
      <c r="B62" s="120"/>
      <c r="C62" s="120"/>
      <c r="D62" s="120"/>
      <c r="E62" s="120"/>
      <c r="F62" s="120"/>
      <c r="G62" s="120"/>
      <c r="H62" s="120"/>
      <c r="I62" s="120"/>
      <c r="J62" s="120"/>
      <c r="K62" s="120"/>
    </row>
    <row r="63" spans="1:6" ht="12.75">
      <c r="A63" s="68"/>
      <c r="E63" s="63"/>
      <c r="F63" s="64"/>
    </row>
    <row r="64" spans="1:11" ht="54" customHeight="1">
      <c r="A64" s="121" t="s">
        <v>115</v>
      </c>
      <c r="B64" s="122"/>
      <c r="C64" s="122"/>
      <c r="D64" s="122"/>
      <c r="E64" s="122"/>
      <c r="F64" s="122"/>
      <c r="G64" s="122"/>
      <c r="H64" s="122"/>
      <c r="I64" s="122"/>
      <c r="J64" s="122"/>
      <c r="K64" s="122"/>
    </row>
    <row r="65" spans="1:6" ht="12.75">
      <c r="A65" s="64"/>
      <c r="E65" s="63"/>
      <c r="F65" s="64"/>
    </row>
    <row r="66" spans="2:5" ht="12.75">
      <c r="B66" s="68" t="s">
        <v>37</v>
      </c>
      <c r="C66" s="68"/>
      <c r="D66" s="68"/>
      <c r="E66" s="64">
        <v>19600000</v>
      </c>
    </row>
    <row r="67" spans="2:4" ht="12.75">
      <c r="B67" s="68"/>
      <c r="C67" s="68"/>
      <c r="D67" s="68"/>
    </row>
    <row r="68" spans="1:6" s="114" customFormat="1" ht="16.5" customHeight="1">
      <c r="A68" s="113" t="s">
        <v>91</v>
      </c>
      <c r="F68" s="115"/>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ignoredErrors>
    <ignoredError sqref="G16:G25" 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L68"/>
  <sheetViews>
    <sheetView zoomScale="90" zoomScaleNormal="90" zoomScalePageLayoutView="0" workbookViewId="0" topLeftCell="A1">
      <selection activeCell="B29" sqref="B29"/>
    </sheetView>
  </sheetViews>
  <sheetFormatPr defaultColWidth="9.140625" defaultRowHeight="12.75"/>
  <cols>
    <col min="1" max="1" width="9.28125" style="66" customWidth="1"/>
    <col min="2" max="2" width="15.57421875" style="64" bestFit="1" customWidth="1"/>
    <col min="3" max="3" width="12.7109375" style="64" customWidth="1"/>
    <col min="4" max="4" width="15.57421875" style="64" bestFit="1" customWidth="1"/>
    <col min="5" max="5" width="13.8515625" style="64" customWidth="1"/>
    <col min="6" max="6" width="10.57421875" style="65" customWidth="1"/>
    <col min="7" max="7" width="10.57421875" style="64" customWidth="1"/>
    <col min="8" max="8" width="2.7109375" style="64" customWidth="1"/>
    <col min="9" max="9" width="13.8515625" style="64" bestFit="1" customWidth="1"/>
    <col min="10" max="10" width="13.00390625" style="64" customWidth="1"/>
    <col min="11" max="11" width="13.8515625" style="64" bestFit="1" customWidth="1"/>
    <col min="12" max="12" width="14.421875" style="63" bestFit="1" customWidth="1"/>
    <col min="13" max="16384" width="9.140625" style="63" customWidth="1"/>
  </cols>
  <sheetData>
    <row r="1" spans="1:11" ht="18">
      <c r="A1" s="123" t="s">
        <v>50</v>
      </c>
      <c r="B1" s="123"/>
      <c r="C1" s="123"/>
      <c r="D1" s="123"/>
      <c r="E1" s="123"/>
      <c r="F1" s="123"/>
      <c r="G1" s="123"/>
      <c r="H1" s="123"/>
      <c r="I1" s="123"/>
      <c r="J1" s="123"/>
      <c r="K1" s="123"/>
    </row>
    <row r="2" spans="1:11" ht="15">
      <c r="A2" s="124" t="s">
        <v>0</v>
      </c>
      <c r="B2" s="124"/>
      <c r="C2" s="124"/>
      <c r="D2" s="124"/>
      <c r="E2" s="124"/>
      <c r="F2" s="124"/>
      <c r="G2" s="124"/>
      <c r="H2" s="124"/>
      <c r="I2" s="124"/>
      <c r="J2" s="124"/>
      <c r="K2" s="124"/>
    </row>
    <row r="3" spans="1:11" s="103" customFormat="1" ht="15">
      <c r="A3" s="124" t="s">
        <v>1</v>
      </c>
      <c r="B3" s="124"/>
      <c r="C3" s="124"/>
      <c r="D3" s="124"/>
      <c r="E3" s="124"/>
      <c r="F3" s="124"/>
      <c r="G3" s="124"/>
      <c r="H3" s="124"/>
      <c r="I3" s="124"/>
      <c r="J3" s="124"/>
      <c r="K3" s="124"/>
    </row>
    <row r="4" spans="1:11" s="103" customFormat="1" ht="14.25">
      <c r="A4" s="125" t="s">
        <v>2</v>
      </c>
      <c r="B4" s="125"/>
      <c r="C4" s="125"/>
      <c r="D4" s="125"/>
      <c r="E4" s="125"/>
      <c r="F4" s="125"/>
      <c r="G4" s="125"/>
      <c r="H4" s="125"/>
      <c r="I4" s="125"/>
      <c r="J4" s="125"/>
      <c r="K4" s="125"/>
    </row>
    <row r="5" spans="1:11" s="103" customFormat="1" ht="14.25">
      <c r="A5" s="126" t="s">
        <v>3</v>
      </c>
      <c r="B5" s="126"/>
      <c r="C5" s="126"/>
      <c r="D5" s="126"/>
      <c r="E5" s="126"/>
      <c r="F5" s="126"/>
      <c r="G5" s="126"/>
      <c r="H5" s="126"/>
      <c r="I5" s="126"/>
      <c r="J5" s="126"/>
      <c r="K5" s="126"/>
    </row>
    <row r="6" spans="1:11" s="103" customFormat="1" ht="14.25">
      <c r="A6" s="108"/>
      <c r="B6" s="108"/>
      <c r="C6" s="108"/>
      <c r="D6" s="108"/>
      <c r="E6" s="108"/>
      <c r="F6" s="108"/>
      <c r="G6" s="108"/>
      <c r="H6" s="108"/>
      <c r="I6" s="108"/>
      <c r="J6" s="108"/>
      <c r="K6" s="108"/>
    </row>
    <row r="7" spans="1:11" s="103" customFormat="1" ht="12.75">
      <c r="A7" s="66"/>
      <c r="B7" s="106"/>
      <c r="C7" s="106"/>
      <c r="D7" s="106"/>
      <c r="E7" s="104"/>
      <c r="F7" s="105"/>
      <c r="G7" s="104"/>
      <c r="H7" s="104"/>
      <c r="I7" s="104"/>
      <c r="J7" s="104"/>
      <c r="K7" s="104"/>
    </row>
    <row r="8" spans="1:11" s="107" customFormat="1" ht="14.25" customHeight="1">
      <c r="A8" s="117" t="s">
        <v>112</v>
      </c>
      <c r="B8" s="118"/>
      <c r="C8" s="118"/>
      <c r="D8" s="118"/>
      <c r="E8" s="118"/>
      <c r="F8" s="118"/>
      <c r="G8" s="118"/>
      <c r="H8" s="118"/>
      <c r="I8" s="118"/>
      <c r="J8" s="118"/>
      <c r="K8" s="118"/>
    </row>
    <row r="9" spans="1:11" s="103" customFormat="1" ht="9" customHeight="1">
      <c r="A9" s="66"/>
      <c r="B9" s="106"/>
      <c r="C9" s="106"/>
      <c r="D9" s="106"/>
      <c r="E9" s="104"/>
      <c r="F9" s="105"/>
      <c r="G9" s="104"/>
      <c r="H9" s="104"/>
      <c r="I9" s="104"/>
      <c r="J9" s="104"/>
      <c r="K9" s="104"/>
    </row>
    <row r="10" spans="1:11" s="103" customFormat="1" ht="12.75">
      <c r="A10" s="66"/>
      <c r="B10" s="104"/>
      <c r="C10" s="104"/>
      <c r="D10" s="104"/>
      <c r="E10" s="104"/>
      <c r="F10" s="105"/>
      <c r="G10" s="104"/>
      <c r="H10" s="104"/>
      <c r="I10" s="116" t="s">
        <v>4</v>
      </c>
      <c r="J10" s="116"/>
      <c r="K10" s="116"/>
    </row>
    <row r="11" spans="1:11" s="103" customFormat="1" ht="12.75">
      <c r="A11" s="66"/>
      <c r="B11" s="104"/>
      <c r="C11" s="104"/>
      <c r="D11" s="104"/>
      <c r="E11" s="104"/>
      <c r="F11" s="105"/>
      <c r="G11" s="104"/>
      <c r="H11" s="104"/>
      <c r="I11" s="104"/>
      <c r="J11" s="104"/>
      <c r="K11" s="104"/>
    </row>
    <row r="12" spans="1:11" s="97" customFormat="1" ht="12">
      <c r="A12" s="102"/>
      <c r="B12" s="82" t="s">
        <v>5</v>
      </c>
      <c r="C12" s="82" t="s">
        <v>65</v>
      </c>
      <c r="D12" s="82" t="s">
        <v>5</v>
      </c>
      <c r="E12" s="82"/>
      <c r="F12" s="101" t="s">
        <v>6</v>
      </c>
      <c r="G12" s="82" t="s">
        <v>7</v>
      </c>
      <c r="H12" s="82"/>
      <c r="I12" s="82" t="s">
        <v>8</v>
      </c>
      <c r="J12" s="54" t="s">
        <v>75</v>
      </c>
      <c r="K12" s="82" t="s">
        <v>74</v>
      </c>
    </row>
    <row r="13" spans="1:11" s="97" customFormat="1" ht="12">
      <c r="A13" s="100" t="s">
        <v>10</v>
      </c>
      <c r="B13" s="78" t="s">
        <v>11</v>
      </c>
      <c r="C13" s="78" t="s">
        <v>18</v>
      </c>
      <c r="D13" s="78" t="s">
        <v>12</v>
      </c>
      <c r="E13" s="78" t="s">
        <v>13</v>
      </c>
      <c r="F13" s="99" t="s">
        <v>14</v>
      </c>
      <c r="G13" s="78" t="s">
        <v>15</v>
      </c>
      <c r="H13" s="98"/>
      <c r="I13" s="78" t="s">
        <v>16</v>
      </c>
      <c r="J13" s="55" t="s">
        <v>76</v>
      </c>
      <c r="K13" s="78" t="s">
        <v>17</v>
      </c>
    </row>
    <row r="15" spans="1:11" ht="12.75">
      <c r="A15" s="66">
        <v>44287</v>
      </c>
      <c r="B15" s="64">
        <v>827716426.84</v>
      </c>
      <c r="C15" s="64">
        <v>1775721.58</v>
      </c>
      <c r="D15" s="64">
        <f aca="true" t="shared" si="0" ref="D15:D26">IF(ISBLANK(B15),"",B15-C15-E15)</f>
        <v>769722418.3</v>
      </c>
      <c r="E15" s="64">
        <v>56218286.96</v>
      </c>
      <c r="F15" s="65">
        <v>2998.93</v>
      </c>
      <c r="G15" s="64">
        <f>_xlfn.IFERROR((E15/F15/30)," ")</f>
        <v>624.8705033684237</v>
      </c>
      <c r="I15" s="64">
        <v>28390234.9</v>
      </c>
      <c r="J15" s="64">
        <v>5621828.71</v>
      </c>
      <c r="K15" s="64">
        <v>22206223.34</v>
      </c>
    </row>
    <row r="16" spans="1:12" ht="12.75">
      <c r="A16" s="66">
        <v>44317</v>
      </c>
      <c r="B16" s="64">
        <v>848547288.34</v>
      </c>
      <c r="C16" s="64">
        <v>1730212.7</v>
      </c>
      <c r="D16" s="64">
        <f t="shared" si="0"/>
        <v>790459651.67</v>
      </c>
      <c r="E16" s="64">
        <v>56357423.97</v>
      </c>
      <c r="F16" s="65">
        <v>3216</v>
      </c>
      <c r="G16" s="64">
        <f>_xlfn.IFERROR((E16/F16/31)," ")</f>
        <v>565.2927295979779</v>
      </c>
      <c r="I16" s="64">
        <v>28460499.12</v>
      </c>
      <c r="J16" s="64">
        <v>5635742.41</v>
      </c>
      <c r="K16" s="64">
        <v>22261182.46</v>
      </c>
      <c r="L16" s="112"/>
    </row>
    <row r="17" spans="1:12" ht="12.75">
      <c r="A17" s="66">
        <v>44348</v>
      </c>
      <c r="B17" s="64">
        <v>782257877.2400001</v>
      </c>
      <c r="C17" s="64">
        <v>2580425.0000000005</v>
      </c>
      <c r="D17" s="64">
        <f>IF(ISBLANK(B17),"",B17-C17-E17)</f>
        <v>727916302.7300001</v>
      </c>
      <c r="E17" s="64">
        <v>51761149.50999999</v>
      </c>
      <c r="F17" s="65">
        <v>3670</v>
      </c>
      <c r="G17" s="64">
        <f>_xlfn.IFERROR((E17/F17/30)," ")</f>
        <v>470.12851507720245</v>
      </c>
      <c r="I17" s="64">
        <v>26139380.499999996</v>
      </c>
      <c r="J17" s="64">
        <v>5176114.960000001</v>
      </c>
      <c r="K17" s="64">
        <v>20445654.07</v>
      </c>
      <c r="L17" s="112"/>
    </row>
    <row r="18" spans="1:12" ht="12.75">
      <c r="A18" s="66">
        <v>44378</v>
      </c>
      <c r="B18" s="64">
        <v>867851497.6200001</v>
      </c>
      <c r="C18" s="64">
        <v>3063466.519999999</v>
      </c>
      <c r="D18" s="64">
        <f>IF(ISBLANK(B18),"",B18-C18-E18)</f>
        <v>807543481.5700002</v>
      </c>
      <c r="E18" s="64">
        <v>57244549.529999994</v>
      </c>
      <c r="F18" s="65">
        <v>4696</v>
      </c>
      <c r="G18" s="64">
        <f>_xlfn.IFERROR((E18/F18/31)," ")</f>
        <v>393.2279326949497</v>
      </c>
      <c r="I18" s="64">
        <v>28908497.520000003</v>
      </c>
      <c r="J18" s="64">
        <v>5724454.95</v>
      </c>
      <c r="K18" s="64">
        <v>22611597.09</v>
      </c>
      <c r="L18" s="112"/>
    </row>
    <row r="19" spans="1:12" ht="12.75">
      <c r="A19" s="66">
        <v>44409</v>
      </c>
      <c r="B19" s="64">
        <v>827528879.3799998</v>
      </c>
      <c r="C19" s="64">
        <v>2898206.9699999993</v>
      </c>
      <c r="D19" s="64">
        <f>IF(ISBLANK(B19),"",B19-C19-E19)</f>
        <v>770707340.3399997</v>
      </c>
      <c r="E19" s="64">
        <v>53923332.07000001</v>
      </c>
      <c r="F19" s="65">
        <v>4696</v>
      </c>
      <c r="G19" s="64">
        <f>_xlfn.IFERROR((E19/F19/31)," ")</f>
        <v>370.4136126147168</v>
      </c>
      <c r="I19" s="64">
        <v>27231282.695350006</v>
      </c>
      <c r="J19" s="64">
        <v>5392333.207000001</v>
      </c>
      <c r="K19" s="64">
        <v>21299716.170000006</v>
      </c>
      <c r="L19" s="112"/>
    </row>
    <row r="20" spans="1:12" ht="12.75">
      <c r="A20" s="66">
        <v>44440</v>
      </c>
      <c r="B20" s="71">
        <v>787210292.28</v>
      </c>
      <c r="C20" s="64">
        <v>2343797.18</v>
      </c>
      <c r="D20" s="64">
        <f t="shared" si="0"/>
        <v>733946923.98</v>
      </c>
      <c r="E20" s="64">
        <v>50919571.11999998</v>
      </c>
      <c r="F20" s="65">
        <v>4696</v>
      </c>
      <c r="G20" s="64">
        <f>_xlfn.IFERROR((E20/F20/30)," ")</f>
        <v>361.4393180011356</v>
      </c>
      <c r="I20" s="64">
        <v>25714383.415599994</v>
      </c>
      <c r="J20" s="64">
        <v>5091957.111999999</v>
      </c>
      <c r="K20" s="64">
        <v>20113230.6</v>
      </c>
      <c r="L20" s="112"/>
    </row>
    <row r="21" spans="1:11" ht="12.75">
      <c r="A21" s="66">
        <v>44470</v>
      </c>
      <c r="B21" s="64">
        <v>818958046.9499999</v>
      </c>
      <c r="C21" s="64">
        <v>2601729.0299999993</v>
      </c>
      <c r="D21" s="64">
        <f t="shared" si="0"/>
        <v>763173797.13</v>
      </c>
      <c r="E21" s="64">
        <v>53182520.78999999</v>
      </c>
      <c r="F21" s="65">
        <v>4696</v>
      </c>
      <c r="G21" s="64">
        <f>_xlfn.IFERROR((E21/F21/31)," ")</f>
        <v>365.32478423641254</v>
      </c>
      <c r="I21" s="64">
        <v>26857173.000000004</v>
      </c>
      <c r="J21" s="64">
        <v>5318252.13</v>
      </c>
      <c r="K21" s="64">
        <v>21007095.71</v>
      </c>
    </row>
    <row r="22" spans="1:11" ht="12.75">
      <c r="A22" s="66">
        <v>44501</v>
      </c>
      <c r="B22" s="64">
        <v>752415904.5399997</v>
      </c>
      <c r="C22" s="64">
        <v>2467586.57</v>
      </c>
      <c r="D22" s="64">
        <f t="shared" si="0"/>
        <v>701515831.9699997</v>
      </c>
      <c r="E22" s="64">
        <v>48432485.99999999</v>
      </c>
      <c r="F22" s="65">
        <v>4696</v>
      </c>
      <c r="G22" s="64">
        <f>_xlfn.IFERROR((E22/F22/30)," ")</f>
        <v>343.7853918228279</v>
      </c>
      <c r="I22" s="64">
        <v>24458405.410000008</v>
      </c>
      <c r="J22" s="64">
        <v>4843248.630000001</v>
      </c>
      <c r="K22" s="64">
        <v>19130831.99</v>
      </c>
    </row>
    <row r="23" spans="1:11" ht="12.75">
      <c r="A23" s="66">
        <v>44531</v>
      </c>
      <c r="B23" s="64">
        <v>760421203.2399997</v>
      </c>
      <c r="C23" s="64">
        <v>2593077.49</v>
      </c>
      <c r="D23" s="64">
        <f t="shared" si="0"/>
        <v>708883158.3599997</v>
      </c>
      <c r="E23" s="64">
        <v>48944967.39000001</v>
      </c>
      <c r="F23" s="65">
        <v>4696</v>
      </c>
      <c r="G23" s="64">
        <f>_xlfn.IFERROR((E23/F23/31)," ")</f>
        <v>336.21591052096505</v>
      </c>
      <c r="I23" s="64">
        <v>24717208.52</v>
      </c>
      <c r="J23" s="64">
        <v>4894496.76</v>
      </c>
      <c r="K23" s="64">
        <v>19333262.1</v>
      </c>
    </row>
    <row r="24" spans="1:11" ht="12.75">
      <c r="A24" s="66">
        <v>44562</v>
      </c>
      <c r="B24" s="64">
        <v>685052491.26</v>
      </c>
      <c r="C24" s="64">
        <v>2338242.6599999997</v>
      </c>
      <c r="D24" s="64">
        <f t="shared" si="0"/>
        <v>638610859.0600001</v>
      </c>
      <c r="E24" s="64">
        <v>44103389.54</v>
      </c>
      <c r="F24" s="65">
        <v>4695</v>
      </c>
      <c r="G24" s="64">
        <f>_xlfn.IFERROR((E24/F24/31)," ")</f>
        <v>303.02236105671784</v>
      </c>
      <c r="I24" s="64">
        <v>22272211.720000003</v>
      </c>
      <c r="J24" s="64">
        <v>4410338.99</v>
      </c>
      <c r="K24" s="64">
        <v>17420838.859999996</v>
      </c>
    </row>
    <row r="25" spans="1:11" ht="12.75">
      <c r="A25" s="66">
        <v>44593</v>
      </c>
      <c r="B25" s="64">
        <v>734042440.6400001</v>
      </c>
      <c r="C25" s="64">
        <v>2131704.96</v>
      </c>
      <c r="D25" s="64">
        <f>IF(ISBLANK(B25),"",B25-C25-E25)</f>
        <v>682995923.2900001</v>
      </c>
      <c r="E25" s="64">
        <v>48914812.39</v>
      </c>
      <c r="F25" s="65">
        <v>4693</v>
      </c>
      <c r="G25" s="64">
        <f>_xlfn.IFERROR((E25/F25/28)," ")</f>
        <v>372.247514459225</v>
      </c>
      <c r="I25" s="64">
        <v>24701980.25</v>
      </c>
      <c r="J25" s="64">
        <v>4891481.26</v>
      </c>
      <c r="K25" s="64">
        <v>19321350.919999998</v>
      </c>
    </row>
    <row r="26" spans="1:11" ht="12.75">
      <c r="A26" s="66">
        <v>44621</v>
      </c>
      <c r="B26" s="64">
        <v>822265130.9299997</v>
      </c>
      <c r="C26" s="64">
        <v>2674851</v>
      </c>
      <c r="D26" s="64">
        <f t="shared" si="0"/>
        <v>764987658.9799998</v>
      </c>
      <c r="E26" s="64">
        <v>54602620.94999999</v>
      </c>
      <c r="F26" s="65">
        <v>4681</v>
      </c>
      <c r="G26" s="64">
        <f>_xlfn.IFERROR((E26/F26/31)," ")</f>
        <v>376.28174948832265</v>
      </c>
      <c r="I26" s="64">
        <v>27574323.599999998</v>
      </c>
      <c r="J26" s="64">
        <v>5460262.129999999</v>
      </c>
      <c r="K26" s="64">
        <v>21568035.270000007</v>
      </c>
    </row>
    <row r="27" spans="1:11" ht="13.5" thickBot="1">
      <c r="A27" s="96" t="s">
        <v>19</v>
      </c>
      <c r="B27" s="93">
        <f>SUM(B15:B26)</f>
        <v>9514267479.26</v>
      </c>
      <c r="C27" s="93">
        <f>SUM(C15:C26)</f>
        <v>29199021.66</v>
      </c>
      <c r="D27" s="93">
        <f>SUM(D15:D26)</f>
        <v>8860463347.38</v>
      </c>
      <c r="E27" s="93">
        <f>SUM(E15:E26)</f>
        <v>624605110.22</v>
      </c>
      <c r="F27" s="62">
        <f>AVERAGE(F15:F26)</f>
        <v>4344.160833333333</v>
      </c>
      <c r="G27" s="61">
        <f>AVERAGE(G15:G26)</f>
        <v>406.85419357823986</v>
      </c>
      <c r="H27" s="94"/>
      <c r="I27" s="93">
        <f>SUM(I15:I26)</f>
        <v>315425580.6509501</v>
      </c>
      <c r="J27" s="93">
        <f>SUM(J15:J26)</f>
        <v>62460511.249</v>
      </c>
      <c r="K27" s="93">
        <f>SUM(K15:K26)</f>
        <v>246719018.57999998</v>
      </c>
    </row>
    <row r="28" spans="2:11" ht="10.5" customHeight="1" thickTop="1">
      <c r="B28" s="92"/>
      <c r="C28" s="92"/>
      <c r="D28" s="92"/>
      <c r="E28" s="92"/>
      <c r="I28" s="92"/>
      <c r="J28" s="92"/>
      <c r="K28" s="92"/>
    </row>
    <row r="29" spans="1:11" s="89" customFormat="1" ht="12.75">
      <c r="A29" s="91"/>
      <c r="B29" s="90"/>
      <c r="C29" s="90">
        <f>_xlfn.IFERROR(C27/B27,"")</f>
        <v>0.003068972122515</v>
      </c>
      <c r="D29" s="90">
        <f>_xlfn.IFERROR(D27/B27,"")</f>
        <v>0.93128171629553</v>
      </c>
      <c r="E29" s="90">
        <f>_xlfn.IFERROR(E27/B27,"")</f>
        <v>0.06564931158195486</v>
      </c>
      <c r="I29" s="90">
        <f>_xlfn.IFERROR(I27/$E$27,"")</f>
        <v>0.5049999999837498</v>
      </c>
      <c r="J29" s="90">
        <f>_xlfn.IFERROR(J27/$E$27,"")</f>
        <v>0.10000000036342961</v>
      </c>
      <c r="K29" s="90">
        <f>_xlfn.IFERROR(K27/$E$27,"")</f>
        <v>0.39500000006900354</v>
      </c>
    </row>
    <row r="31" spans="1:11" s="88" customFormat="1" ht="12.75">
      <c r="A31" s="117" t="s">
        <v>20</v>
      </c>
      <c r="B31" s="118"/>
      <c r="C31" s="118"/>
      <c r="D31" s="118"/>
      <c r="E31" s="118"/>
      <c r="F31" s="118"/>
      <c r="G31" s="118"/>
      <c r="H31" s="118"/>
      <c r="I31" s="118"/>
      <c r="J31" s="118"/>
      <c r="K31" s="118"/>
    </row>
    <row r="32" ht="12.75">
      <c r="A32" s="68"/>
    </row>
    <row r="33" spans="1:11" s="45" customFormat="1" ht="12.75" customHeight="1">
      <c r="A33" s="41" t="s">
        <v>21</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D35" s="110"/>
      <c r="E35" s="44"/>
      <c r="F35" s="44"/>
      <c r="G35" s="44"/>
      <c r="H35" s="44"/>
      <c r="I35" s="44"/>
      <c r="J35" s="44"/>
      <c r="K35" s="44"/>
    </row>
    <row r="36" spans="1:11" ht="12.75">
      <c r="A36" s="87" t="s">
        <v>90</v>
      </c>
      <c r="B36" s="71"/>
      <c r="C36" s="71" t="s">
        <v>80</v>
      </c>
      <c r="D36" s="71"/>
      <c r="E36" s="71"/>
      <c r="F36" s="71"/>
      <c r="G36" s="71"/>
      <c r="H36" s="71"/>
      <c r="I36" s="71"/>
      <c r="J36" s="71"/>
      <c r="K36" s="71"/>
    </row>
    <row r="37" spans="1:11" s="45" customFormat="1" ht="6" customHeight="1">
      <c r="A37" s="41"/>
      <c r="B37" s="42"/>
      <c r="C37" s="43"/>
      <c r="D37" s="110"/>
      <c r="E37" s="111"/>
      <c r="F37" s="43"/>
      <c r="G37" s="43"/>
      <c r="H37" s="43"/>
      <c r="I37" s="43"/>
      <c r="J37" s="42"/>
      <c r="K37" s="42"/>
    </row>
    <row r="38" spans="1:11" s="45" customFormat="1" ht="12.75">
      <c r="A38" s="41" t="s">
        <v>22</v>
      </c>
      <c r="B38" s="42"/>
      <c r="C38" s="43" t="s">
        <v>94</v>
      </c>
      <c r="D38" s="110"/>
      <c r="E38" s="111"/>
      <c r="F38" s="43"/>
      <c r="G38" s="43"/>
      <c r="H38" s="43"/>
      <c r="I38" s="43"/>
      <c r="J38" s="42"/>
      <c r="K38" s="42"/>
    </row>
    <row r="39" spans="1:11" s="45" customFormat="1" ht="6" customHeight="1">
      <c r="A39" s="41"/>
      <c r="B39" s="42"/>
      <c r="C39" s="43"/>
      <c r="D39" s="110"/>
      <c r="E39" s="111"/>
      <c r="F39" s="43"/>
      <c r="G39" s="43"/>
      <c r="H39" s="43"/>
      <c r="I39" s="43"/>
      <c r="J39" s="42"/>
      <c r="K39" s="42"/>
    </row>
    <row r="40" spans="1:11" s="45" customFormat="1" ht="12.75">
      <c r="A40" s="41" t="s">
        <v>24</v>
      </c>
      <c r="B40" s="42"/>
      <c r="C40" s="42" t="s">
        <v>54</v>
      </c>
      <c r="D40" s="110"/>
      <c r="E40" s="111"/>
      <c r="F40" s="47"/>
      <c r="G40" s="42"/>
      <c r="H40" s="42"/>
      <c r="I40" s="42"/>
      <c r="J40" s="42"/>
      <c r="K40" s="42"/>
    </row>
    <row r="41" spans="1:11" s="45" customFormat="1" ht="12.75">
      <c r="A41" s="41"/>
      <c r="B41" s="42"/>
      <c r="C41" s="42" t="s">
        <v>55</v>
      </c>
      <c r="D41" s="110"/>
      <c r="E41" s="111"/>
      <c r="F41" s="47"/>
      <c r="G41" s="42"/>
      <c r="H41" s="42"/>
      <c r="I41" s="42"/>
      <c r="J41" s="42"/>
      <c r="K41" s="42"/>
    </row>
    <row r="42" spans="1:11" s="45" customFormat="1" ht="6" customHeight="1">
      <c r="A42" s="41"/>
      <c r="B42" s="42"/>
      <c r="C42" s="42"/>
      <c r="D42" s="110"/>
      <c r="E42" s="111"/>
      <c r="F42" s="47"/>
      <c r="G42" s="42"/>
      <c r="H42" s="42"/>
      <c r="I42" s="42"/>
      <c r="J42" s="42"/>
      <c r="K42" s="42"/>
    </row>
    <row r="43" spans="1:11" s="45" customFormat="1" ht="12.75">
      <c r="A43" s="41" t="s">
        <v>27</v>
      </c>
      <c r="B43" s="42"/>
      <c r="C43" s="42" t="s">
        <v>28</v>
      </c>
      <c r="D43" s="110"/>
      <c r="E43" s="111"/>
      <c r="F43" s="47"/>
      <c r="G43" s="42"/>
      <c r="H43" s="42"/>
      <c r="I43" s="42"/>
      <c r="J43" s="42"/>
      <c r="K43" s="42"/>
    </row>
    <row r="44" spans="1:11" s="45" customFormat="1" ht="6" customHeight="1">
      <c r="A44" s="41"/>
      <c r="B44" s="42"/>
      <c r="C44" s="42"/>
      <c r="D44" s="110"/>
      <c r="E44" s="111"/>
      <c r="F44" s="47"/>
      <c r="G44" s="42"/>
      <c r="H44" s="42"/>
      <c r="I44" s="42"/>
      <c r="J44" s="42"/>
      <c r="K44" s="42"/>
    </row>
    <row r="45" spans="1:11" s="45" customFormat="1" ht="12.75">
      <c r="A45" s="41" t="s">
        <v>67</v>
      </c>
      <c r="B45" s="42"/>
      <c r="C45" s="42" t="s">
        <v>68</v>
      </c>
      <c r="D45" s="111"/>
      <c r="E45" s="47"/>
      <c r="F45" s="42"/>
      <c r="G45" s="42"/>
      <c r="H45" s="42"/>
      <c r="I45" s="42"/>
      <c r="J45" s="42"/>
      <c r="K45" s="42"/>
    </row>
    <row r="46" spans="1:11" s="45" customFormat="1" ht="12.75">
      <c r="A46" s="41"/>
      <c r="B46" s="42"/>
      <c r="C46" s="42" t="s">
        <v>77</v>
      </c>
      <c r="D46" s="111"/>
      <c r="E46" s="47"/>
      <c r="F46" s="42"/>
      <c r="G46" s="42"/>
      <c r="H46" s="42"/>
      <c r="I46" s="42"/>
      <c r="J46" s="42"/>
      <c r="K46" s="42"/>
    </row>
    <row r="47" spans="1:11" s="45" customFormat="1" ht="12.75">
      <c r="A47" s="41"/>
      <c r="B47" s="42"/>
      <c r="C47" s="42" t="s">
        <v>78</v>
      </c>
      <c r="D47" s="111"/>
      <c r="E47" s="47"/>
      <c r="F47" s="42"/>
      <c r="G47" s="42"/>
      <c r="H47" s="42"/>
      <c r="I47" s="42"/>
      <c r="J47" s="42"/>
      <c r="K47" s="42"/>
    </row>
    <row r="48" spans="1:11" s="45" customFormat="1" ht="3" customHeight="1">
      <c r="A48" s="41"/>
      <c r="B48" s="42"/>
      <c r="C48" s="42"/>
      <c r="D48" s="111"/>
      <c r="E48" s="47"/>
      <c r="F48" s="42"/>
      <c r="G48" s="42"/>
      <c r="H48" s="42"/>
      <c r="I48" s="42"/>
      <c r="J48" s="42"/>
      <c r="K48" s="42"/>
    </row>
    <row r="49" spans="1:11" s="45" customFormat="1" ht="12.75" customHeight="1">
      <c r="A49" s="41"/>
      <c r="B49" s="42"/>
      <c r="C49" s="43" t="s">
        <v>108</v>
      </c>
      <c r="D49" s="43"/>
      <c r="E49" s="43"/>
      <c r="F49" s="43"/>
      <c r="G49" s="43"/>
      <c r="H49" s="43"/>
      <c r="I49" s="43"/>
      <c r="J49" s="43"/>
      <c r="K49" s="43"/>
    </row>
    <row r="50" spans="1:11" s="45" customFormat="1" ht="12.75">
      <c r="A50" s="41"/>
      <c r="B50" s="42"/>
      <c r="C50" s="43" t="s">
        <v>107</v>
      </c>
      <c r="D50" s="43"/>
      <c r="E50" s="43"/>
      <c r="F50" s="43"/>
      <c r="G50" s="43"/>
      <c r="H50" s="43"/>
      <c r="I50" s="43"/>
      <c r="J50" s="43"/>
      <c r="K50" s="43"/>
    </row>
    <row r="51" spans="1:11" s="45" customFormat="1" ht="12.75">
      <c r="A51" s="41"/>
      <c r="B51" s="42"/>
      <c r="C51" s="43" t="s">
        <v>109</v>
      </c>
      <c r="D51" s="43"/>
      <c r="E51" s="43"/>
      <c r="F51" s="43"/>
      <c r="G51" s="43"/>
      <c r="H51" s="43"/>
      <c r="I51" s="43"/>
      <c r="J51" s="43"/>
      <c r="K51" s="43"/>
    </row>
    <row r="52" spans="1:11" s="45" customFormat="1" ht="6" customHeight="1">
      <c r="A52" s="41"/>
      <c r="B52" s="42"/>
      <c r="C52" s="42"/>
      <c r="D52" s="110"/>
      <c r="E52" s="111"/>
      <c r="F52" s="47"/>
      <c r="G52" s="42"/>
      <c r="H52" s="42"/>
      <c r="I52" s="42"/>
      <c r="J52" s="42"/>
      <c r="K52" s="42"/>
    </row>
    <row r="53" spans="1:11" s="45" customFormat="1" ht="12.75">
      <c r="A53" s="41" t="s">
        <v>79</v>
      </c>
      <c r="B53" s="42"/>
      <c r="C53" s="42" t="s">
        <v>72</v>
      </c>
      <c r="D53" s="111"/>
      <c r="E53" s="47"/>
      <c r="F53" s="42"/>
      <c r="G53" s="42"/>
      <c r="H53" s="42"/>
      <c r="I53" s="42"/>
      <c r="J53" s="42"/>
      <c r="K53" s="42"/>
    </row>
    <row r="54" spans="1:11" s="45" customFormat="1" ht="12.75">
      <c r="A54" s="48"/>
      <c r="B54" s="42"/>
      <c r="C54" s="42" t="s">
        <v>73</v>
      </c>
      <c r="D54" s="111"/>
      <c r="E54" s="47"/>
      <c r="F54" s="42"/>
      <c r="G54" s="42"/>
      <c r="H54" s="42"/>
      <c r="I54" s="42"/>
      <c r="J54" s="42"/>
      <c r="K54" s="42"/>
    </row>
    <row r="55" spans="1:11" ht="12.75">
      <c r="A55" s="86"/>
      <c r="B55" s="84"/>
      <c r="C55" s="84"/>
      <c r="D55" s="71"/>
      <c r="E55" s="84"/>
      <c r="F55" s="85"/>
      <c r="G55" s="84"/>
      <c r="H55" s="84"/>
      <c r="I55" s="84"/>
      <c r="J55" s="84"/>
      <c r="K55" s="84"/>
    </row>
    <row r="56" spans="1:11" ht="12.75">
      <c r="A56" s="117" t="s">
        <v>30</v>
      </c>
      <c r="B56" s="118"/>
      <c r="C56" s="118"/>
      <c r="D56" s="118"/>
      <c r="E56" s="118"/>
      <c r="F56" s="118"/>
      <c r="G56" s="118"/>
      <c r="H56" s="118"/>
      <c r="I56" s="118"/>
      <c r="J56" s="118"/>
      <c r="K56" s="118"/>
    </row>
    <row r="57" ht="12.75">
      <c r="A57" s="68"/>
    </row>
    <row r="58" spans="1:11" ht="13.5">
      <c r="A58" s="83"/>
      <c r="D58" s="82" t="s">
        <v>8</v>
      </c>
      <c r="E58" s="54" t="s">
        <v>75</v>
      </c>
      <c r="F58" s="116" t="s">
        <v>81</v>
      </c>
      <c r="G58" s="116"/>
      <c r="H58" s="116"/>
      <c r="I58" s="116"/>
      <c r="J58" s="63"/>
      <c r="K58" s="63"/>
    </row>
    <row r="59" spans="1:11" ht="12.75">
      <c r="A59" s="81"/>
      <c r="D59" s="78" t="s">
        <v>16</v>
      </c>
      <c r="E59" s="55" t="s">
        <v>76</v>
      </c>
      <c r="F59" s="78" t="s">
        <v>82</v>
      </c>
      <c r="G59" s="80" t="s">
        <v>83</v>
      </c>
      <c r="H59" s="79"/>
      <c r="I59" s="78" t="s">
        <v>84</v>
      </c>
      <c r="J59" s="63"/>
      <c r="K59" s="63"/>
    </row>
    <row r="60" spans="2:11" ht="12.75">
      <c r="B60" s="109"/>
      <c r="C60" s="109"/>
      <c r="D60" s="74">
        <v>0.505</v>
      </c>
      <c r="E60" s="74">
        <v>0.1</v>
      </c>
      <c r="F60" s="74">
        <v>0.295</v>
      </c>
      <c r="G60" s="76">
        <v>0.0875</v>
      </c>
      <c r="H60" s="75"/>
      <c r="I60" s="74">
        <v>0.0125</v>
      </c>
      <c r="J60" s="63"/>
      <c r="K60" s="63"/>
    </row>
    <row r="61" spans="2:11" ht="12.75">
      <c r="B61" s="73"/>
      <c r="C61" s="73"/>
      <c r="D61" s="73"/>
      <c r="E61" s="71"/>
      <c r="F61" s="72"/>
      <c r="G61" s="70"/>
      <c r="H61" s="71"/>
      <c r="I61" s="70"/>
      <c r="J61" s="70"/>
      <c r="K61" s="70"/>
    </row>
    <row r="62" spans="1:11" ht="13.5" customHeight="1">
      <c r="A62" s="119" t="s">
        <v>36</v>
      </c>
      <c r="B62" s="120"/>
      <c r="C62" s="120"/>
      <c r="D62" s="120"/>
      <c r="E62" s="120"/>
      <c r="F62" s="120"/>
      <c r="G62" s="120"/>
      <c r="H62" s="120"/>
      <c r="I62" s="120"/>
      <c r="J62" s="120"/>
      <c r="K62" s="120"/>
    </row>
    <row r="63" spans="1:6" ht="12.75">
      <c r="A63" s="68"/>
      <c r="E63" s="63"/>
      <c r="F63" s="64"/>
    </row>
    <row r="64" spans="1:11" ht="54" customHeight="1">
      <c r="A64" s="121" t="s">
        <v>113</v>
      </c>
      <c r="B64" s="122"/>
      <c r="C64" s="122"/>
      <c r="D64" s="122"/>
      <c r="E64" s="122"/>
      <c r="F64" s="122"/>
      <c r="G64" s="122"/>
      <c r="H64" s="122"/>
      <c r="I64" s="122"/>
      <c r="J64" s="122"/>
      <c r="K64" s="122"/>
    </row>
    <row r="65" spans="1:6" ht="12.75">
      <c r="A65" s="64"/>
      <c r="E65" s="63"/>
      <c r="F65" s="64"/>
    </row>
    <row r="66" spans="2:5" ht="12.75">
      <c r="B66" s="68" t="s">
        <v>37</v>
      </c>
      <c r="C66" s="68"/>
      <c r="D66" s="68"/>
      <c r="E66" s="64">
        <v>19600000</v>
      </c>
    </row>
    <row r="67" spans="2:4" ht="12.75">
      <c r="B67" s="68"/>
      <c r="C67" s="68"/>
      <c r="D67" s="68"/>
    </row>
    <row r="68" spans="1:6" s="114" customFormat="1" ht="16.5" customHeight="1">
      <c r="A68" s="113" t="s">
        <v>91</v>
      </c>
      <c r="F68" s="115"/>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zoomScale="90" zoomScaleNormal="90" zoomScalePageLayoutView="0" workbookViewId="0" topLeftCell="A1">
      <selection activeCell="G27" sqref="G27"/>
    </sheetView>
  </sheetViews>
  <sheetFormatPr defaultColWidth="9.140625" defaultRowHeight="12.75"/>
  <cols>
    <col min="1" max="1" width="9.28125" style="66" customWidth="1"/>
    <col min="2" max="2" width="15.57421875" style="64" bestFit="1" customWidth="1"/>
    <col min="3" max="3" width="12.7109375" style="64" customWidth="1"/>
    <col min="4" max="4" width="15.57421875" style="64" bestFit="1" customWidth="1"/>
    <col min="5" max="5" width="13.8515625" style="64" customWidth="1"/>
    <col min="6" max="6" width="10.57421875" style="65" customWidth="1"/>
    <col min="7" max="7" width="10.57421875" style="64" customWidth="1"/>
    <col min="8" max="8" width="2.7109375" style="64" customWidth="1"/>
    <col min="9" max="9" width="13.8515625" style="64" bestFit="1" customWidth="1"/>
    <col min="10" max="10" width="13.00390625" style="64" customWidth="1"/>
    <col min="11" max="11" width="13.8515625" style="64" bestFit="1" customWidth="1"/>
    <col min="12" max="12" width="14.421875" style="63" bestFit="1" customWidth="1"/>
    <col min="13" max="16384" width="9.140625" style="63" customWidth="1"/>
  </cols>
  <sheetData>
    <row r="1" spans="1:11" ht="18">
      <c r="A1" s="123" t="s">
        <v>50</v>
      </c>
      <c r="B1" s="123"/>
      <c r="C1" s="123"/>
      <c r="D1" s="123"/>
      <c r="E1" s="123"/>
      <c r="F1" s="123"/>
      <c r="G1" s="123"/>
      <c r="H1" s="123"/>
      <c r="I1" s="123"/>
      <c r="J1" s="123"/>
      <c r="K1" s="123"/>
    </row>
    <row r="2" spans="1:11" ht="15">
      <c r="A2" s="124" t="s">
        <v>0</v>
      </c>
      <c r="B2" s="124"/>
      <c r="C2" s="124"/>
      <c r="D2" s="124"/>
      <c r="E2" s="124"/>
      <c r="F2" s="124"/>
      <c r="G2" s="124"/>
      <c r="H2" s="124"/>
      <c r="I2" s="124"/>
      <c r="J2" s="124"/>
      <c r="K2" s="124"/>
    </row>
    <row r="3" spans="1:11" s="103" customFormat="1" ht="15">
      <c r="A3" s="124" t="s">
        <v>1</v>
      </c>
      <c r="B3" s="124"/>
      <c r="C3" s="124"/>
      <c r="D3" s="124"/>
      <c r="E3" s="124"/>
      <c r="F3" s="124"/>
      <c r="G3" s="124"/>
      <c r="H3" s="124"/>
      <c r="I3" s="124"/>
      <c r="J3" s="124"/>
      <c r="K3" s="124"/>
    </row>
    <row r="4" spans="1:11" s="103" customFormat="1" ht="14.25">
      <c r="A4" s="125" t="s">
        <v>2</v>
      </c>
      <c r="B4" s="125"/>
      <c r="C4" s="125"/>
      <c r="D4" s="125"/>
      <c r="E4" s="125"/>
      <c r="F4" s="125"/>
      <c r="G4" s="125"/>
      <c r="H4" s="125"/>
      <c r="I4" s="125"/>
      <c r="J4" s="125"/>
      <c r="K4" s="125"/>
    </row>
    <row r="5" spans="1:11" s="103" customFormat="1" ht="14.25">
      <c r="A5" s="126" t="s">
        <v>3</v>
      </c>
      <c r="B5" s="126"/>
      <c r="C5" s="126"/>
      <c r="D5" s="126"/>
      <c r="E5" s="126"/>
      <c r="F5" s="126"/>
      <c r="G5" s="126"/>
      <c r="H5" s="126"/>
      <c r="I5" s="126"/>
      <c r="J5" s="126"/>
      <c r="K5" s="126"/>
    </row>
    <row r="6" spans="1:11" s="103" customFormat="1" ht="14.25">
      <c r="A6" s="108"/>
      <c r="B6" s="108"/>
      <c r="C6" s="108"/>
      <c r="D6" s="108"/>
      <c r="E6" s="108"/>
      <c r="F6" s="108"/>
      <c r="G6" s="108"/>
      <c r="H6" s="108"/>
      <c r="I6" s="108"/>
      <c r="J6" s="108"/>
      <c r="K6" s="108"/>
    </row>
    <row r="7" spans="1:11" s="103" customFormat="1" ht="12.75">
      <c r="A7" s="66"/>
      <c r="B7" s="106"/>
      <c r="C7" s="106"/>
      <c r="D7" s="106"/>
      <c r="E7" s="104"/>
      <c r="F7" s="105"/>
      <c r="G7" s="104"/>
      <c r="H7" s="104"/>
      <c r="I7" s="104"/>
      <c r="J7" s="104"/>
      <c r="K7" s="104"/>
    </row>
    <row r="8" spans="1:11" s="107" customFormat="1" ht="14.25" customHeight="1">
      <c r="A8" s="117" t="s">
        <v>110</v>
      </c>
      <c r="B8" s="118"/>
      <c r="C8" s="118"/>
      <c r="D8" s="118"/>
      <c r="E8" s="118"/>
      <c r="F8" s="118"/>
      <c r="G8" s="118"/>
      <c r="H8" s="118"/>
      <c r="I8" s="118"/>
      <c r="J8" s="118"/>
      <c r="K8" s="118"/>
    </row>
    <row r="9" spans="1:11" s="103" customFormat="1" ht="9" customHeight="1">
      <c r="A9" s="66"/>
      <c r="B9" s="106"/>
      <c r="C9" s="106"/>
      <c r="D9" s="106"/>
      <c r="E9" s="104"/>
      <c r="F9" s="105"/>
      <c r="G9" s="104"/>
      <c r="H9" s="104"/>
      <c r="I9" s="104"/>
      <c r="J9" s="104"/>
      <c r="K9" s="104"/>
    </row>
    <row r="10" spans="1:11" s="103" customFormat="1" ht="12.75">
      <c r="A10" s="66"/>
      <c r="B10" s="104"/>
      <c r="C10" s="104"/>
      <c r="D10" s="104"/>
      <c r="E10" s="104"/>
      <c r="F10" s="105"/>
      <c r="G10" s="104"/>
      <c r="H10" s="104"/>
      <c r="I10" s="116" t="s">
        <v>4</v>
      </c>
      <c r="J10" s="116"/>
      <c r="K10" s="116"/>
    </row>
    <row r="11" spans="1:11" s="103" customFormat="1" ht="12.75">
      <c r="A11" s="66"/>
      <c r="B11" s="104"/>
      <c r="C11" s="104"/>
      <c r="D11" s="104"/>
      <c r="E11" s="104"/>
      <c r="F11" s="105"/>
      <c r="G11" s="104"/>
      <c r="H11" s="104"/>
      <c r="I11" s="104"/>
      <c r="J11" s="104"/>
      <c r="K11" s="104"/>
    </row>
    <row r="12" spans="1:11" s="97" customFormat="1" ht="12">
      <c r="A12" s="102"/>
      <c r="B12" s="82" t="s">
        <v>5</v>
      </c>
      <c r="C12" s="82" t="s">
        <v>65</v>
      </c>
      <c r="D12" s="82" t="s">
        <v>5</v>
      </c>
      <c r="E12" s="82"/>
      <c r="F12" s="101" t="s">
        <v>6</v>
      </c>
      <c r="G12" s="82" t="s">
        <v>7</v>
      </c>
      <c r="H12" s="82"/>
      <c r="I12" s="82" t="s">
        <v>8</v>
      </c>
      <c r="J12" s="54" t="s">
        <v>75</v>
      </c>
      <c r="K12" s="82" t="s">
        <v>74</v>
      </c>
    </row>
    <row r="13" spans="1:11" s="97" customFormat="1" ht="12">
      <c r="A13" s="100" t="s">
        <v>10</v>
      </c>
      <c r="B13" s="78" t="s">
        <v>11</v>
      </c>
      <c r="C13" s="78" t="s">
        <v>18</v>
      </c>
      <c r="D13" s="78" t="s">
        <v>12</v>
      </c>
      <c r="E13" s="78" t="s">
        <v>13</v>
      </c>
      <c r="F13" s="99" t="s">
        <v>14</v>
      </c>
      <c r="G13" s="78" t="s">
        <v>15</v>
      </c>
      <c r="H13" s="98"/>
      <c r="I13" s="78" t="s">
        <v>16</v>
      </c>
      <c r="J13" s="55" t="s">
        <v>76</v>
      </c>
      <c r="K13" s="78" t="s">
        <v>17</v>
      </c>
    </row>
    <row r="15" spans="1:11" ht="12.75">
      <c r="A15" s="66">
        <v>43922</v>
      </c>
      <c r="B15" s="64">
        <v>0</v>
      </c>
      <c r="C15" s="64">
        <v>0</v>
      </c>
      <c r="D15" s="64">
        <f aca="true" t="shared" si="0" ref="D15:D26">IF(ISBLANK(B15),"",B15-C15-E15)</f>
        <v>0</v>
      </c>
      <c r="E15" s="64">
        <v>0</v>
      </c>
      <c r="F15" s="65">
        <v>0</v>
      </c>
      <c r="G15" s="64">
        <v>0</v>
      </c>
      <c r="I15" s="64">
        <v>0</v>
      </c>
      <c r="J15" s="64">
        <v>0</v>
      </c>
      <c r="K15" s="64">
        <v>0</v>
      </c>
    </row>
    <row r="16" spans="1:12" ht="12.75">
      <c r="A16" s="66">
        <v>43952</v>
      </c>
      <c r="B16" s="64">
        <v>0</v>
      </c>
      <c r="C16" s="64">
        <v>0</v>
      </c>
      <c r="D16" s="64">
        <f t="shared" si="0"/>
        <v>0</v>
      </c>
      <c r="E16" s="64">
        <v>0</v>
      </c>
      <c r="F16" s="65">
        <v>0</v>
      </c>
      <c r="G16" s="64">
        <v>0</v>
      </c>
      <c r="I16" s="64">
        <v>0</v>
      </c>
      <c r="J16" s="64">
        <v>0</v>
      </c>
      <c r="K16" s="64">
        <v>0</v>
      </c>
      <c r="L16" s="112"/>
    </row>
    <row r="17" spans="1:12" ht="12.75">
      <c r="A17" s="66">
        <v>43983</v>
      </c>
      <c r="B17" s="64">
        <v>0</v>
      </c>
      <c r="C17" s="64">
        <v>0</v>
      </c>
      <c r="D17" s="64">
        <f>IF(ISBLANK(B17),"",B17-C17-E17)</f>
        <v>0</v>
      </c>
      <c r="E17" s="64">
        <v>0</v>
      </c>
      <c r="F17" s="65">
        <v>0</v>
      </c>
      <c r="G17" s="64">
        <v>0</v>
      </c>
      <c r="I17" s="64">
        <v>0</v>
      </c>
      <c r="J17" s="64">
        <v>0</v>
      </c>
      <c r="K17" s="64">
        <v>0</v>
      </c>
      <c r="L17" s="112"/>
    </row>
    <row r="18" spans="1:12" ht="12.75">
      <c r="A18" s="66">
        <v>44013</v>
      </c>
      <c r="B18" s="64">
        <v>0</v>
      </c>
      <c r="C18" s="64">
        <v>0</v>
      </c>
      <c r="D18" s="64">
        <f>IF(ISBLANK(B18),"",B18-C18-E18)</f>
        <v>0</v>
      </c>
      <c r="E18" s="64">
        <v>0</v>
      </c>
      <c r="F18" s="65">
        <v>0</v>
      </c>
      <c r="G18" s="64">
        <v>0</v>
      </c>
      <c r="I18" s="64">
        <v>0</v>
      </c>
      <c r="J18" s="64">
        <v>0</v>
      </c>
      <c r="K18" s="64">
        <v>0</v>
      </c>
      <c r="L18" s="112"/>
    </row>
    <row r="19" spans="1:12" ht="12.75">
      <c r="A19" s="66">
        <v>44044</v>
      </c>
      <c r="B19" s="64">
        <v>0</v>
      </c>
      <c r="C19" s="64">
        <v>0</v>
      </c>
      <c r="D19" s="64">
        <f>IF(ISBLANK(B19),"",B19-C19-E19)</f>
        <v>0</v>
      </c>
      <c r="E19" s="64">
        <v>0</v>
      </c>
      <c r="F19" s="65">
        <v>0</v>
      </c>
      <c r="G19" s="64">
        <v>0</v>
      </c>
      <c r="I19" s="64">
        <v>0</v>
      </c>
      <c r="J19" s="64">
        <v>0</v>
      </c>
      <c r="K19" s="64">
        <v>0</v>
      </c>
      <c r="L19" s="112"/>
    </row>
    <row r="20" spans="1:12" ht="12.75">
      <c r="A20" s="66">
        <v>44075</v>
      </c>
      <c r="B20" s="71">
        <v>280661642.97</v>
      </c>
      <c r="C20" s="64">
        <v>445176.39999999997</v>
      </c>
      <c r="D20" s="64">
        <f t="shared" si="0"/>
        <v>261378396.74000004</v>
      </c>
      <c r="E20" s="64">
        <v>18838069.830000002</v>
      </c>
      <c r="F20" s="65">
        <v>1892</v>
      </c>
      <c r="G20" s="64">
        <f>IF(ISBLANK(B20),"",+E20/F20/19)</f>
        <v>524.0366593412707</v>
      </c>
      <c r="I20" s="64">
        <v>9513225.27</v>
      </c>
      <c r="J20" s="64">
        <v>1883806.9900000002</v>
      </c>
      <c r="K20" s="64">
        <v>7441037.590000002</v>
      </c>
      <c r="L20" s="112"/>
    </row>
    <row r="21" spans="1:11" ht="12.75">
      <c r="A21" s="66">
        <v>44105</v>
      </c>
      <c r="B21" s="64">
        <v>697876557.91</v>
      </c>
      <c r="C21" s="64">
        <v>1610246.46</v>
      </c>
      <c r="D21" s="64">
        <f t="shared" si="0"/>
        <v>652622274.1399999</v>
      </c>
      <c r="E21" s="64">
        <v>43644037.31</v>
      </c>
      <c r="F21" s="65">
        <v>1905.45</v>
      </c>
      <c r="G21" s="64">
        <f>IF(ISBLANK(B21),"",+E21/F21/31)</f>
        <v>738.8659745940972</v>
      </c>
      <c r="I21" s="64">
        <v>22040238.85</v>
      </c>
      <c r="J21" s="64">
        <v>4364403.76</v>
      </c>
      <c r="K21" s="64">
        <v>17239394.73</v>
      </c>
    </row>
    <row r="22" spans="1:11" ht="12.75">
      <c r="A22" s="66">
        <v>44136</v>
      </c>
      <c r="B22" s="64">
        <v>580679313.6999999</v>
      </c>
      <c r="C22" s="64">
        <v>2658306.16</v>
      </c>
      <c r="D22" s="64">
        <f t="shared" si="0"/>
        <v>542411452.23</v>
      </c>
      <c r="E22" s="64">
        <v>35609555.31</v>
      </c>
      <c r="F22" s="65">
        <v>2067.8</v>
      </c>
      <c r="G22" s="64">
        <f>IF(ISBLANK(B22),"",+E22/F22/30)</f>
        <v>574.0328740690588</v>
      </c>
      <c r="I22" s="64">
        <v>17982825.420000006</v>
      </c>
      <c r="J22" s="64">
        <v>3560955.5499999993</v>
      </c>
      <c r="K22" s="64">
        <v>14065774.370000001</v>
      </c>
    </row>
    <row r="23" spans="1:11" ht="12.75">
      <c r="A23" s="66">
        <v>44166</v>
      </c>
      <c r="B23" s="64">
        <v>546090794.46</v>
      </c>
      <c r="C23" s="64">
        <v>1750728.8399999999</v>
      </c>
      <c r="D23" s="64">
        <f t="shared" si="0"/>
        <v>510856604.82</v>
      </c>
      <c r="E23" s="64">
        <v>33483460.799999993</v>
      </c>
      <c r="F23" s="65">
        <v>2220.74</v>
      </c>
      <c r="G23" s="64">
        <f>IF(ISBLANK(B23),"",+E23/F23/31)</f>
        <v>486.37464931044485</v>
      </c>
      <c r="I23" s="64">
        <v>16909147.68</v>
      </c>
      <c r="J23" s="64">
        <v>3348346.11</v>
      </c>
      <c r="K23" s="64">
        <v>13225967.01</v>
      </c>
    </row>
    <row r="24" spans="1:11" ht="12.75">
      <c r="A24" s="66">
        <v>44197</v>
      </c>
      <c r="B24" s="64">
        <v>621751855.8299999</v>
      </c>
      <c r="C24" s="64">
        <v>2038974.4299999997</v>
      </c>
      <c r="D24" s="64">
        <f t="shared" si="0"/>
        <v>579993077.25</v>
      </c>
      <c r="E24" s="64">
        <v>39719804.150000006</v>
      </c>
      <c r="F24" s="65">
        <v>2279</v>
      </c>
      <c r="G24" s="64">
        <f>IF(ISBLANK(B24),"",+E24/F24/31)</f>
        <v>562.2132535492364</v>
      </c>
      <c r="I24" s="64">
        <v>20058501.100000005</v>
      </c>
      <c r="J24" s="64">
        <v>3971980.4399999995</v>
      </c>
      <c r="K24" s="64">
        <v>15689322.630000003</v>
      </c>
    </row>
    <row r="25" spans="1:11" ht="12.75">
      <c r="A25" s="66">
        <v>44228</v>
      </c>
      <c r="B25" s="64">
        <v>543707958.09</v>
      </c>
      <c r="C25" s="64">
        <v>1882080.1700000002</v>
      </c>
      <c r="D25" s="64">
        <f t="shared" si="0"/>
        <v>507264887.1100001</v>
      </c>
      <c r="E25" s="64">
        <v>34560990.80999999</v>
      </c>
      <c r="F25" s="65">
        <f>70525/28</f>
        <v>2518.75</v>
      </c>
      <c r="G25" s="64">
        <f>IF(ISBLANK(B25),"",+E25/F25/28)</f>
        <v>490.05304232541636</v>
      </c>
      <c r="I25" s="64">
        <v>17453300.340000004</v>
      </c>
      <c r="J25" s="64">
        <v>3456099.070000001</v>
      </c>
      <c r="K25" s="64">
        <v>13651591.36</v>
      </c>
    </row>
    <row r="26" spans="1:11" ht="12.75">
      <c r="A26" s="66">
        <v>44256</v>
      </c>
      <c r="B26" s="64">
        <v>731867318.5200001</v>
      </c>
      <c r="C26" s="64">
        <v>1865349.17</v>
      </c>
      <c r="D26" s="64">
        <f t="shared" si="0"/>
        <v>681492393.1900002</v>
      </c>
      <c r="E26" s="64">
        <v>48509576.16</v>
      </c>
      <c r="F26" s="65">
        <v>2756</v>
      </c>
      <c r="G26" s="64">
        <f>IF(ISBLANK(B26),"",+E26/F26/31)</f>
        <v>567.7884751158762</v>
      </c>
      <c r="I26" s="64">
        <v>24497335.959999993</v>
      </c>
      <c r="J26" s="64">
        <v>4850957.6</v>
      </c>
      <c r="K26" s="64">
        <v>19161282.589999996</v>
      </c>
    </row>
    <row r="27" spans="1:11" ht="13.5" thickBot="1">
      <c r="A27" s="96" t="s">
        <v>19</v>
      </c>
      <c r="B27" s="93">
        <f>SUM(B15:B26)</f>
        <v>4002635441.48</v>
      </c>
      <c r="C27" s="93">
        <f>SUM(C15:C26)</f>
        <v>12250861.629999999</v>
      </c>
      <c r="D27" s="93">
        <f>SUM(D15:D26)</f>
        <v>3736019085.48</v>
      </c>
      <c r="E27" s="93">
        <f>SUM(E15:E26)</f>
        <v>254365494.36999997</v>
      </c>
      <c r="F27" s="95">
        <f>SUM(F20:F26)/COUNT(F20:F26)</f>
        <v>2234.2485714285713</v>
      </c>
      <c r="G27" s="93">
        <f>_xlfn.IFERROR(E27/F27/177," ")</f>
        <v>643.2109689622407</v>
      </c>
      <c r="H27" s="94"/>
      <c r="I27" s="93">
        <f>SUM(I15:I26)</f>
        <v>128454574.62</v>
      </c>
      <c r="J27" s="93">
        <f>SUM(J15:J26)</f>
        <v>25436549.519999996</v>
      </c>
      <c r="K27" s="93">
        <f>SUM(K15:K26)</f>
        <v>100474370.28</v>
      </c>
    </row>
    <row r="28" spans="2:11" ht="10.5" customHeight="1" thickTop="1">
      <c r="B28" s="92"/>
      <c r="C28" s="92"/>
      <c r="D28" s="92"/>
      <c r="E28" s="92"/>
      <c r="I28" s="92"/>
      <c r="J28" s="92"/>
      <c r="K28" s="92"/>
    </row>
    <row r="29" spans="1:11" s="89" customFormat="1" ht="12.75">
      <c r="A29" s="91"/>
      <c r="B29" s="90"/>
      <c r="C29" s="90">
        <f>_xlfn.IFERROR(C27/B27,"")</f>
        <v>0.003060698834333552</v>
      </c>
      <c r="D29" s="90">
        <f>_xlfn.IFERROR(D27/B27,"")</f>
        <v>0.9333897978224525</v>
      </c>
      <c r="E29" s="90">
        <f>_xlfn.IFERROR(E27/B27,"")</f>
        <v>0.06354950334321396</v>
      </c>
      <c r="I29" s="90">
        <f>_xlfn.IFERROR(I27/$E$27,"")</f>
        <v>0.5049999998551298</v>
      </c>
      <c r="J29" s="90">
        <f>_xlfn.IFERROR(J27/$E$27,"")</f>
        <v>0.10000000032630212</v>
      </c>
      <c r="K29" s="90">
        <f>_xlfn.IFERROR(K27/$E$27,"")</f>
        <v>0.39500000001513574</v>
      </c>
    </row>
    <row r="31" spans="1:11" s="88" customFormat="1" ht="12.75">
      <c r="A31" s="117" t="s">
        <v>20</v>
      </c>
      <c r="B31" s="118"/>
      <c r="C31" s="118"/>
      <c r="D31" s="118"/>
      <c r="E31" s="118"/>
      <c r="F31" s="118"/>
      <c r="G31" s="118"/>
      <c r="H31" s="118"/>
      <c r="I31" s="118"/>
      <c r="J31" s="118"/>
      <c r="K31" s="118"/>
    </row>
    <row r="32" ht="12.75">
      <c r="A32" s="68"/>
    </row>
    <row r="33" spans="1:11" s="45" customFormat="1" ht="12.75" customHeight="1">
      <c r="A33" s="41" t="s">
        <v>21</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D35" s="110"/>
      <c r="E35" s="44"/>
      <c r="F35" s="44"/>
      <c r="G35" s="44"/>
      <c r="H35" s="44"/>
      <c r="I35" s="44"/>
      <c r="J35" s="44"/>
      <c r="K35" s="44"/>
    </row>
    <row r="36" spans="1:11" ht="12.75">
      <c r="A36" s="87" t="s">
        <v>90</v>
      </c>
      <c r="B36" s="71"/>
      <c r="C36" s="71" t="s">
        <v>80</v>
      </c>
      <c r="D36" s="71"/>
      <c r="E36" s="71"/>
      <c r="F36" s="71"/>
      <c r="G36" s="71"/>
      <c r="H36" s="71"/>
      <c r="I36" s="71"/>
      <c r="J36" s="71"/>
      <c r="K36" s="71"/>
    </row>
    <row r="37" spans="1:11" s="45" customFormat="1" ht="6" customHeight="1">
      <c r="A37" s="41"/>
      <c r="B37" s="42"/>
      <c r="C37" s="43"/>
      <c r="D37" s="110"/>
      <c r="E37" s="111"/>
      <c r="F37" s="43"/>
      <c r="G37" s="43"/>
      <c r="H37" s="43"/>
      <c r="I37" s="43"/>
      <c r="J37" s="42"/>
      <c r="K37" s="42"/>
    </row>
    <row r="38" spans="1:11" s="45" customFormat="1" ht="12.75">
      <c r="A38" s="41" t="s">
        <v>22</v>
      </c>
      <c r="B38" s="42"/>
      <c r="C38" s="43" t="s">
        <v>94</v>
      </c>
      <c r="D38" s="110"/>
      <c r="E38" s="111"/>
      <c r="F38" s="43"/>
      <c r="G38" s="43"/>
      <c r="H38" s="43"/>
      <c r="I38" s="43"/>
      <c r="J38" s="42"/>
      <c r="K38" s="42"/>
    </row>
    <row r="39" spans="1:11" s="45" customFormat="1" ht="6" customHeight="1">
      <c r="A39" s="41"/>
      <c r="B39" s="42"/>
      <c r="C39" s="43"/>
      <c r="D39" s="110"/>
      <c r="E39" s="111"/>
      <c r="F39" s="43"/>
      <c r="G39" s="43"/>
      <c r="H39" s="43"/>
      <c r="I39" s="43"/>
      <c r="J39" s="42"/>
      <c r="K39" s="42"/>
    </row>
    <row r="40" spans="1:11" s="45" customFormat="1" ht="12.75">
      <c r="A40" s="41" t="s">
        <v>24</v>
      </c>
      <c r="B40" s="42"/>
      <c r="C40" s="42" t="s">
        <v>54</v>
      </c>
      <c r="D40" s="110"/>
      <c r="E40" s="111"/>
      <c r="F40" s="47"/>
      <c r="G40" s="42"/>
      <c r="H40" s="42"/>
      <c r="I40" s="42"/>
      <c r="J40" s="42"/>
      <c r="K40" s="42"/>
    </row>
    <row r="41" spans="1:11" s="45" customFormat="1" ht="12.75">
      <c r="A41" s="41"/>
      <c r="B41" s="42"/>
      <c r="C41" s="42" t="s">
        <v>55</v>
      </c>
      <c r="D41" s="110"/>
      <c r="E41" s="111"/>
      <c r="F41" s="47"/>
      <c r="G41" s="42"/>
      <c r="H41" s="42"/>
      <c r="I41" s="42"/>
      <c r="J41" s="42"/>
      <c r="K41" s="42"/>
    </row>
    <row r="42" spans="1:11" s="45" customFormat="1" ht="6" customHeight="1">
      <c r="A42" s="41"/>
      <c r="B42" s="42"/>
      <c r="C42" s="42"/>
      <c r="D42" s="110"/>
      <c r="E42" s="111"/>
      <c r="F42" s="47"/>
      <c r="G42" s="42"/>
      <c r="H42" s="42"/>
      <c r="I42" s="42"/>
      <c r="J42" s="42"/>
      <c r="K42" s="42"/>
    </row>
    <row r="43" spans="1:11" s="45" customFormat="1" ht="12.75">
      <c r="A43" s="41" t="s">
        <v>27</v>
      </c>
      <c r="B43" s="42"/>
      <c r="C43" s="42" t="s">
        <v>28</v>
      </c>
      <c r="D43" s="110"/>
      <c r="E43" s="111"/>
      <c r="F43" s="47"/>
      <c r="G43" s="42"/>
      <c r="H43" s="42"/>
      <c r="I43" s="42"/>
      <c r="J43" s="42"/>
      <c r="K43" s="42"/>
    </row>
    <row r="44" spans="1:11" s="45" customFormat="1" ht="6" customHeight="1">
      <c r="A44" s="41"/>
      <c r="B44" s="42"/>
      <c r="C44" s="42"/>
      <c r="D44" s="110"/>
      <c r="E44" s="111"/>
      <c r="F44" s="47"/>
      <c r="G44" s="42"/>
      <c r="H44" s="42"/>
      <c r="I44" s="42"/>
      <c r="J44" s="42"/>
      <c r="K44" s="42"/>
    </row>
    <row r="45" spans="1:11" s="45" customFormat="1" ht="12.75">
      <c r="A45" s="41" t="s">
        <v>67</v>
      </c>
      <c r="B45" s="42"/>
      <c r="C45" s="42" t="s">
        <v>68</v>
      </c>
      <c r="D45" s="111"/>
      <c r="E45" s="47"/>
      <c r="F45" s="42"/>
      <c r="G45" s="42"/>
      <c r="H45" s="42"/>
      <c r="I45" s="42"/>
      <c r="J45" s="42"/>
      <c r="K45" s="42"/>
    </row>
    <row r="46" spans="1:11" s="45" customFormat="1" ht="12.75">
      <c r="A46" s="41"/>
      <c r="B46" s="42"/>
      <c r="C46" s="42" t="s">
        <v>77</v>
      </c>
      <c r="D46" s="111"/>
      <c r="E46" s="47"/>
      <c r="F46" s="42"/>
      <c r="G46" s="42"/>
      <c r="H46" s="42"/>
      <c r="I46" s="42"/>
      <c r="J46" s="42"/>
      <c r="K46" s="42"/>
    </row>
    <row r="47" spans="1:11" s="45" customFormat="1" ht="12.75">
      <c r="A47" s="41"/>
      <c r="B47" s="42"/>
      <c r="C47" s="42" t="s">
        <v>78</v>
      </c>
      <c r="D47" s="111"/>
      <c r="E47" s="47"/>
      <c r="F47" s="42"/>
      <c r="G47" s="42"/>
      <c r="H47" s="42"/>
      <c r="I47" s="42"/>
      <c r="J47" s="42"/>
      <c r="K47" s="42"/>
    </row>
    <row r="48" spans="1:11" s="45" customFormat="1" ht="3" customHeight="1">
      <c r="A48" s="41"/>
      <c r="B48" s="42"/>
      <c r="C48" s="42"/>
      <c r="D48" s="111"/>
      <c r="E48" s="47"/>
      <c r="F48" s="42"/>
      <c r="G48" s="42"/>
      <c r="H48" s="42"/>
      <c r="I48" s="42"/>
      <c r="J48" s="42"/>
      <c r="K48" s="42"/>
    </row>
    <row r="49" spans="1:11" s="45" customFormat="1" ht="12.75" customHeight="1">
      <c r="A49" s="41"/>
      <c r="B49" s="42"/>
      <c r="C49" s="43" t="s">
        <v>108</v>
      </c>
      <c r="D49" s="43"/>
      <c r="E49" s="43"/>
      <c r="F49" s="43"/>
      <c r="G49" s="43"/>
      <c r="H49" s="43"/>
      <c r="I49" s="43"/>
      <c r="J49" s="43"/>
      <c r="K49" s="43"/>
    </row>
    <row r="50" spans="1:11" s="45" customFormat="1" ht="12.75">
      <c r="A50" s="41"/>
      <c r="B50" s="42"/>
      <c r="C50" s="43" t="s">
        <v>107</v>
      </c>
      <c r="D50" s="43"/>
      <c r="E50" s="43"/>
      <c r="F50" s="43"/>
      <c r="G50" s="43"/>
      <c r="H50" s="43"/>
      <c r="I50" s="43"/>
      <c r="J50" s="43"/>
      <c r="K50" s="43"/>
    </row>
    <row r="51" spans="1:11" s="45" customFormat="1" ht="12.75">
      <c r="A51" s="41"/>
      <c r="B51" s="42"/>
      <c r="C51" s="43" t="s">
        <v>109</v>
      </c>
      <c r="D51" s="43"/>
      <c r="E51" s="43"/>
      <c r="F51" s="43"/>
      <c r="G51" s="43"/>
      <c r="H51" s="43"/>
      <c r="I51" s="43"/>
      <c r="J51" s="43"/>
      <c r="K51" s="43"/>
    </row>
    <row r="52" spans="1:11" s="45" customFormat="1" ht="6" customHeight="1">
      <c r="A52" s="41"/>
      <c r="B52" s="42"/>
      <c r="C52" s="42"/>
      <c r="D52" s="110"/>
      <c r="E52" s="111"/>
      <c r="F52" s="47"/>
      <c r="G52" s="42"/>
      <c r="H52" s="42"/>
      <c r="I52" s="42"/>
      <c r="J52" s="42"/>
      <c r="K52" s="42"/>
    </row>
    <row r="53" spans="1:11" s="45" customFormat="1" ht="12.75">
      <c r="A53" s="41" t="s">
        <v>79</v>
      </c>
      <c r="B53" s="42"/>
      <c r="C53" s="42" t="s">
        <v>72</v>
      </c>
      <c r="D53" s="111"/>
      <c r="E53" s="47"/>
      <c r="F53" s="42"/>
      <c r="G53" s="42"/>
      <c r="H53" s="42"/>
      <c r="I53" s="42"/>
      <c r="J53" s="42"/>
      <c r="K53" s="42"/>
    </row>
    <row r="54" spans="1:11" s="45" customFormat="1" ht="12.75">
      <c r="A54" s="48"/>
      <c r="B54" s="42"/>
      <c r="C54" s="42" t="s">
        <v>73</v>
      </c>
      <c r="D54" s="111"/>
      <c r="E54" s="47"/>
      <c r="F54" s="42"/>
      <c r="G54" s="42"/>
      <c r="H54" s="42"/>
      <c r="I54" s="42"/>
      <c r="J54" s="42"/>
      <c r="K54" s="42"/>
    </row>
    <row r="55" spans="1:11" ht="12.75">
      <c r="A55" s="86"/>
      <c r="B55" s="84"/>
      <c r="C55" s="84"/>
      <c r="D55" s="71"/>
      <c r="E55" s="84"/>
      <c r="F55" s="85"/>
      <c r="G55" s="84"/>
      <c r="H55" s="84"/>
      <c r="I55" s="84"/>
      <c r="J55" s="84"/>
      <c r="K55" s="84"/>
    </row>
    <row r="56" spans="1:11" ht="12.75">
      <c r="A56" s="117" t="s">
        <v>30</v>
      </c>
      <c r="B56" s="118"/>
      <c r="C56" s="118"/>
      <c r="D56" s="118"/>
      <c r="E56" s="118"/>
      <c r="F56" s="118"/>
      <c r="G56" s="118"/>
      <c r="H56" s="118"/>
      <c r="I56" s="118"/>
      <c r="J56" s="118"/>
      <c r="K56" s="118"/>
    </row>
    <row r="57" ht="12.75">
      <c r="A57" s="68"/>
    </row>
    <row r="58" spans="1:11" ht="13.5">
      <c r="A58" s="83"/>
      <c r="D58" s="82" t="s">
        <v>8</v>
      </c>
      <c r="E58" s="54" t="s">
        <v>75</v>
      </c>
      <c r="F58" s="116" t="s">
        <v>81</v>
      </c>
      <c r="G58" s="116"/>
      <c r="H58" s="116"/>
      <c r="I58" s="116"/>
      <c r="J58" s="63"/>
      <c r="K58" s="63"/>
    </row>
    <row r="59" spans="1:11" ht="12.75">
      <c r="A59" s="81"/>
      <c r="D59" s="78" t="s">
        <v>16</v>
      </c>
      <c r="E59" s="55" t="s">
        <v>76</v>
      </c>
      <c r="F59" s="78" t="s">
        <v>82</v>
      </c>
      <c r="G59" s="80" t="s">
        <v>83</v>
      </c>
      <c r="H59" s="79"/>
      <c r="I59" s="78" t="s">
        <v>84</v>
      </c>
      <c r="J59" s="63"/>
      <c r="K59" s="63"/>
    </row>
    <row r="60" spans="2:11" ht="12.75">
      <c r="B60" s="109"/>
      <c r="C60" s="109"/>
      <c r="D60" s="74">
        <v>0.505</v>
      </c>
      <c r="E60" s="74">
        <v>0.1</v>
      </c>
      <c r="F60" s="74">
        <v>0.295</v>
      </c>
      <c r="G60" s="76">
        <v>0.0875</v>
      </c>
      <c r="H60" s="75"/>
      <c r="I60" s="74">
        <v>0.0125</v>
      </c>
      <c r="J60" s="63"/>
      <c r="K60" s="63"/>
    </row>
    <row r="61" spans="2:11" ht="12.75">
      <c r="B61" s="73"/>
      <c r="C61" s="73"/>
      <c r="D61" s="73"/>
      <c r="E61" s="71"/>
      <c r="F61" s="72"/>
      <c r="G61" s="70"/>
      <c r="H61" s="71"/>
      <c r="I61" s="70"/>
      <c r="J61" s="70"/>
      <c r="K61" s="70"/>
    </row>
    <row r="62" spans="1:11" ht="13.5" customHeight="1">
      <c r="A62" s="119" t="s">
        <v>36</v>
      </c>
      <c r="B62" s="120"/>
      <c r="C62" s="120"/>
      <c r="D62" s="120"/>
      <c r="E62" s="120"/>
      <c r="F62" s="120"/>
      <c r="G62" s="120"/>
      <c r="H62" s="120"/>
      <c r="I62" s="120"/>
      <c r="J62" s="120"/>
      <c r="K62" s="120"/>
    </row>
    <row r="63" spans="1:6" ht="12.75">
      <c r="A63" s="68"/>
      <c r="E63" s="63"/>
      <c r="F63" s="64"/>
    </row>
    <row r="64" spans="1:11" ht="54" customHeight="1">
      <c r="A64" s="121" t="s">
        <v>111</v>
      </c>
      <c r="B64" s="122"/>
      <c r="C64" s="122"/>
      <c r="D64" s="122"/>
      <c r="E64" s="122"/>
      <c r="F64" s="122"/>
      <c r="G64" s="122"/>
      <c r="H64" s="122"/>
      <c r="I64" s="122"/>
      <c r="J64" s="122"/>
      <c r="K64" s="122"/>
    </row>
    <row r="65" spans="1:6" ht="12.75">
      <c r="A65" s="64"/>
      <c r="E65" s="63"/>
      <c r="F65" s="64"/>
    </row>
    <row r="66" spans="2:5" ht="12.75">
      <c r="B66" s="68" t="s">
        <v>37</v>
      </c>
      <c r="C66" s="68"/>
      <c r="D66" s="68"/>
      <c r="E66" s="64">
        <v>19600000</v>
      </c>
    </row>
    <row r="67" spans="2:4" ht="12.75">
      <c r="B67" s="68"/>
      <c r="C67" s="68"/>
      <c r="D67" s="68"/>
    </row>
    <row r="68" spans="1:6" s="114" customFormat="1" ht="16.5" customHeight="1">
      <c r="A68" s="113" t="s">
        <v>91</v>
      </c>
      <c r="F68" s="115"/>
    </row>
  </sheetData>
  <sheetProtection/>
  <mergeCells count="12">
    <mergeCell ref="I10:K10"/>
    <mergeCell ref="A31:K31"/>
    <mergeCell ref="A56:K56"/>
    <mergeCell ref="F58:I58"/>
    <mergeCell ref="A62:K62"/>
    <mergeCell ref="A64:K64"/>
    <mergeCell ref="A1:K1"/>
    <mergeCell ref="A2:K2"/>
    <mergeCell ref="A3:K3"/>
    <mergeCell ref="A4:K4"/>
    <mergeCell ref="A5:K5"/>
    <mergeCell ref="A8:K8"/>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90" zoomScaleNormal="90" zoomScalePageLayoutView="0" workbookViewId="0" topLeftCell="A10">
      <selection activeCell="F27" sqref="F27"/>
    </sheetView>
  </sheetViews>
  <sheetFormatPr defaultColWidth="9.140625" defaultRowHeight="12.75"/>
  <cols>
    <col min="1" max="1" width="9.28125" style="66" customWidth="1"/>
    <col min="2" max="2" width="15.57421875" style="64" bestFit="1" customWidth="1"/>
    <col min="3" max="3" width="12.7109375" style="64" customWidth="1"/>
    <col min="4" max="4" width="15.57421875" style="64" bestFit="1" customWidth="1"/>
    <col min="5" max="5" width="13.8515625" style="64" customWidth="1"/>
    <col min="6" max="6" width="10.57421875" style="65" customWidth="1"/>
    <col min="7" max="7" width="10.57421875" style="64" customWidth="1"/>
    <col min="8" max="8" width="2.7109375" style="64" customWidth="1"/>
    <col min="9" max="9" width="13.8515625" style="64" bestFit="1" customWidth="1"/>
    <col min="10" max="10" width="13.00390625" style="64" customWidth="1"/>
    <col min="11" max="11" width="13.8515625" style="64" bestFit="1" customWidth="1"/>
    <col min="12" max="12" width="14.421875" style="63" bestFit="1" customWidth="1"/>
    <col min="13" max="16384" width="9.140625" style="63" customWidth="1"/>
  </cols>
  <sheetData>
    <row r="1" spans="1:11" ht="18">
      <c r="A1" s="123" t="s">
        <v>50</v>
      </c>
      <c r="B1" s="123"/>
      <c r="C1" s="123"/>
      <c r="D1" s="123"/>
      <c r="E1" s="123"/>
      <c r="F1" s="123"/>
      <c r="G1" s="123"/>
      <c r="H1" s="123"/>
      <c r="I1" s="123"/>
      <c r="J1" s="123"/>
      <c r="K1" s="123"/>
    </row>
    <row r="2" spans="1:11" ht="15">
      <c r="A2" s="124" t="s">
        <v>0</v>
      </c>
      <c r="B2" s="124"/>
      <c r="C2" s="124"/>
      <c r="D2" s="124"/>
      <c r="E2" s="124"/>
      <c r="F2" s="124"/>
      <c r="G2" s="124"/>
      <c r="H2" s="124"/>
      <c r="I2" s="124"/>
      <c r="J2" s="124"/>
      <c r="K2" s="124"/>
    </row>
    <row r="3" spans="1:11" s="103" customFormat="1" ht="15">
      <c r="A3" s="124" t="s">
        <v>1</v>
      </c>
      <c r="B3" s="124"/>
      <c r="C3" s="124"/>
      <c r="D3" s="124"/>
      <c r="E3" s="124"/>
      <c r="F3" s="124"/>
      <c r="G3" s="124"/>
      <c r="H3" s="124"/>
      <c r="I3" s="124"/>
      <c r="J3" s="124"/>
      <c r="K3" s="124"/>
    </row>
    <row r="4" spans="1:11" s="103" customFormat="1" ht="14.25">
      <c r="A4" s="125" t="s">
        <v>2</v>
      </c>
      <c r="B4" s="125"/>
      <c r="C4" s="125"/>
      <c r="D4" s="125"/>
      <c r="E4" s="125"/>
      <c r="F4" s="125"/>
      <c r="G4" s="125"/>
      <c r="H4" s="125"/>
      <c r="I4" s="125"/>
      <c r="J4" s="125"/>
      <c r="K4" s="125"/>
    </row>
    <row r="5" spans="1:11" s="103" customFormat="1" ht="14.25">
      <c r="A5" s="126" t="s">
        <v>3</v>
      </c>
      <c r="B5" s="126"/>
      <c r="C5" s="126"/>
      <c r="D5" s="126"/>
      <c r="E5" s="126"/>
      <c r="F5" s="126"/>
      <c r="G5" s="126"/>
      <c r="H5" s="126"/>
      <c r="I5" s="126"/>
      <c r="J5" s="126"/>
      <c r="K5" s="126"/>
    </row>
    <row r="6" spans="1:11" s="103" customFormat="1" ht="14.25">
      <c r="A6" s="108"/>
      <c r="B6" s="108"/>
      <c r="C6" s="108"/>
      <c r="D6" s="108"/>
      <c r="E6" s="108"/>
      <c r="F6" s="108"/>
      <c r="G6" s="108"/>
      <c r="H6" s="108"/>
      <c r="I6" s="108"/>
      <c r="J6" s="108"/>
      <c r="K6" s="108"/>
    </row>
    <row r="7" spans="1:11" s="103" customFormat="1" ht="12.75">
      <c r="A7" s="66"/>
      <c r="B7" s="106"/>
      <c r="C7" s="106"/>
      <c r="D7" s="106"/>
      <c r="E7" s="104"/>
      <c r="F7" s="105"/>
      <c r="G7" s="104"/>
      <c r="H7" s="104"/>
      <c r="I7" s="104"/>
      <c r="J7" s="104"/>
      <c r="K7" s="104"/>
    </row>
    <row r="8" spans="1:11" s="107" customFormat="1" ht="14.25" customHeight="1">
      <c r="A8" s="117" t="s">
        <v>105</v>
      </c>
      <c r="B8" s="118"/>
      <c r="C8" s="118"/>
      <c r="D8" s="118"/>
      <c r="E8" s="118"/>
      <c r="F8" s="118"/>
      <c r="G8" s="118"/>
      <c r="H8" s="118"/>
      <c r="I8" s="118"/>
      <c r="J8" s="118"/>
      <c r="K8" s="118"/>
    </row>
    <row r="9" spans="1:11" s="103" customFormat="1" ht="9" customHeight="1">
      <c r="A9" s="66"/>
      <c r="B9" s="106"/>
      <c r="C9" s="106"/>
      <c r="D9" s="106"/>
      <c r="E9" s="104"/>
      <c r="F9" s="105"/>
      <c r="G9" s="104"/>
      <c r="H9" s="104"/>
      <c r="I9" s="104"/>
      <c r="J9" s="104"/>
      <c r="K9" s="104"/>
    </row>
    <row r="10" spans="1:11" s="103" customFormat="1" ht="12.75">
      <c r="A10" s="66"/>
      <c r="B10" s="104"/>
      <c r="C10" s="104"/>
      <c r="D10" s="104"/>
      <c r="E10" s="104"/>
      <c r="F10" s="105"/>
      <c r="G10" s="104"/>
      <c r="H10" s="104"/>
      <c r="I10" s="116" t="s">
        <v>4</v>
      </c>
      <c r="J10" s="116"/>
      <c r="K10" s="116"/>
    </row>
    <row r="11" spans="1:11" s="103" customFormat="1" ht="12.75">
      <c r="A11" s="66"/>
      <c r="B11" s="104"/>
      <c r="C11" s="104"/>
      <c r="D11" s="104"/>
      <c r="E11" s="104"/>
      <c r="F11" s="105"/>
      <c r="G11" s="104"/>
      <c r="H11" s="104"/>
      <c r="I11" s="104"/>
      <c r="J11" s="104"/>
      <c r="K11" s="104"/>
    </row>
    <row r="12" spans="1:11" s="97" customFormat="1" ht="12">
      <c r="A12" s="102"/>
      <c r="B12" s="82" t="s">
        <v>5</v>
      </c>
      <c r="C12" s="82" t="s">
        <v>65</v>
      </c>
      <c r="D12" s="82" t="s">
        <v>5</v>
      </c>
      <c r="E12" s="82"/>
      <c r="F12" s="101" t="s">
        <v>6</v>
      </c>
      <c r="G12" s="82" t="s">
        <v>7</v>
      </c>
      <c r="H12" s="82"/>
      <c r="I12" s="82" t="s">
        <v>8</v>
      </c>
      <c r="J12" s="54" t="s">
        <v>75</v>
      </c>
      <c r="K12" s="82" t="s">
        <v>74</v>
      </c>
    </row>
    <row r="13" spans="1:11" s="97" customFormat="1" ht="12">
      <c r="A13" s="100" t="s">
        <v>10</v>
      </c>
      <c r="B13" s="78" t="s">
        <v>11</v>
      </c>
      <c r="C13" s="78" t="s">
        <v>18</v>
      </c>
      <c r="D13" s="78" t="s">
        <v>12</v>
      </c>
      <c r="E13" s="78" t="s">
        <v>13</v>
      </c>
      <c r="F13" s="99" t="s">
        <v>14</v>
      </c>
      <c r="G13" s="78" t="s">
        <v>15</v>
      </c>
      <c r="H13" s="98"/>
      <c r="I13" s="78" t="s">
        <v>16</v>
      </c>
      <c r="J13" s="55" t="s">
        <v>76</v>
      </c>
      <c r="K13" s="78" t="s">
        <v>17</v>
      </c>
    </row>
    <row r="15" spans="1:11" ht="12.75">
      <c r="A15" s="66">
        <v>43556</v>
      </c>
      <c r="B15" s="64">
        <v>866929805.24</v>
      </c>
      <c r="C15" s="64">
        <f>7096267.69-64250</f>
        <v>7032017.69</v>
      </c>
      <c r="D15" s="64">
        <f aca="true" t="shared" si="0" ref="D15:D26">IF(ISBLANK(B15),"",B15-C15-E15)</f>
        <v>807232616</v>
      </c>
      <c r="E15" s="64">
        <v>52665171.55</v>
      </c>
      <c r="F15" s="65">
        <f>156660/30</f>
        <v>5222</v>
      </c>
      <c r="G15" s="64">
        <f>_xlfn.IFERROR((E15/F15/30)," ")</f>
        <v>336.1749747861611</v>
      </c>
      <c r="I15" s="64">
        <v>25947596.77</v>
      </c>
      <c r="J15" s="64">
        <v>5266517.18</v>
      </c>
      <c r="K15" s="64">
        <v>21451057.62</v>
      </c>
    </row>
    <row r="16" spans="1:12" ht="12.75">
      <c r="A16" s="66">
        <v>43586</v>
      </c>
      <c r="B16" s="71">
        <v>865297300.67</v>
      </c>
      <c r="C16" s="64">
        <f>6488402.5-75264.2</f>
        <v>6413138.3</v>
      </c>
      <c r="D16" s="64">
        <f t="shared" si="0"/>
        <v>804567336.83</v>
      </c>
      <c r="E16" s="64">
        <v>54316825.54</v>
      </c>
      <c r="F16" s="65">
        <f>161882/31</f>
        <v>5222</v>
      </c>
      <c r="G16" s="64">
        <f>IF(ISBLANK(B16),"",+E16/F16/31)</f>
        <v>335.53344744937675</v>
      </c>
      <c r="I16" s="64">
        <v>27429996.91</v>
      </c>
      <c r="J16" s="64">
        <v>5431682.55</v>
      </c>
      <c r="K16" s="64">
        <v>21455146.08</v>
      </c>
      <c r="L16" s="112"/>
    </row>
    <row r="17" spans="1:12" ht="12.75">
      <c r="A17" s="66">
        <v>43617</v>
      </c>
      <c r="B17" s="64">
        <v>811308686.43</v>
      </c>
      <c r="C17" s="64">
        <f>5375451.25-90154.8</f>
        <v>5285296.45</v>
      </c>
      <c r="D17" s="64">
        <f t="shared" si="0"/>
        <v>755943317.0899999</v>
      </c>
      <c r="E17" s="64">
        <v>50080072.89</v>
      </c>
      <c r="F17" s="65">
        <f>156270/30</f>
        <v>5209</v>
      </c>
      <c r="G17" s="64">
        <f>IF(ISBLANK(B17),"",+E17/F17/30)</f>
        <v>320.4714461508927</v>
      </c>
      <c r="I17" s="64">
        <v>25290436.81</v>
      </c>
      <c r="J17" s="64">
        <v>5008007.29</v>
      </c>
      <c r="K17" s="64">
        <v>19781628.78</v>
      </c>
      <c r="L17" s="112"/>
    </row>
    <row r="18" spans="1:12" ht="12.75">
      <c r="A18" s="66">
        <v>43647</v>
      </c>
      <c r="B18" s="64">
        <v>795937725.59</v>
      </c>
      <c r="C18" s="64">
        <f>4854198.53-128488.75</f>
        <v>4725709.78</v>
      </c>
      <c r="D18" s="64">
        <f t="shared" si="0"/>
        <v>740958230.1500001</v>
      </c>
      <c r="E18" s="64">
        <v>50253785.66</v>
      </c>
      <c r="F18" s="65">
        <f>161772/31</f>
        <v>5218.451612903225</v>
      </c>
      <c r="G18" s="64">
        <f aca="true" t="shared" si="1" ref="G18:G24">IF(ISBLANK(B18),"",+E18/F18/31)</f>
        <v>310.64575859852135</v>
      </c>
      <c r="I18" s="64">
        <v>25378161.78</v>
      </c>
      <c r="J18" s="64">
        <v>5025378.59</v>
      </c>
      <c r="K18" s="64">
        <v>19850245.33</v>
      </c>
      <c r="L18" s="112"/>
    </row>
    <row r="19" spans="1:12" ht="12.75">
      <c r="A19" s="66">
        <v>43678</v>
      </c>
      <c r="B19" s="64">
        <v>812754661.9000002</v>
      </c>
      <c r="C19" s="64">
        <v>4390538.630000001</v>
      </c>
      <c r="D19" s="64">
        <f t="shared" si="0"/>
        <v>756120007.0700002</v>
      </c>
      <c r="E19" s="64">
        <v>52244116.19999999</v>
      </c>
      <c r="F19" s="65">
        <f>161882/31</f>
        <v>5222</v>
      </c>
      <c r="G19" s="64">
        <f t="shared" si="1"/>
        <v>322.72961910527414</v>
      </c>
      <c r="I19" s="64">
        <v>26383278.660000008</v>
      </c>
      <c r="J19" s="64">
        <v>5224411.64</v>
      </c>
      <c r="K19" s="64">
        <v>20636425.91</v>
      </c>
      <c r="L19" s="112"/>
    </row>
    <row r="20" spans="1:12" ht="12.75">
      <c r="A20" s="66">
        <v>43709</v>
      </c>
      <c r="B20" s="71">
        <v>768962274.4200001</v>
      </c>
      <c r="C20" s="64">
        <v>4668053.04</v>
      </c>
      <c r="D20" s="64">
        <f t="shared" si="0"/>
        <v>714902617.19</v>
      </c>
      <c r="E20" s="64">
        <v>49391604.1900001</v>
      </c>
      <c r="F20" s="65">
        <f>155524/30</f>
        <v>5184.133333333333</v>
      </c>
      <c r="G20" s="64">
        <f>IF(ISBLANK(B20),"",+E20/F20/30)</f>
        <v>317.5818792597933</v>
      </c>
      <c r="I20" s="64">
        <v>24942760.11595005</v>
      </c>
      <c r="J20" s="64">
        <f>E20*0.1</f>
        <v>4939160.41900001</v>
      </c>
      <c r="K20" s="64">
        <v>19509683.65505004</v>
      </c>
      <c r="L20" s="112"/>
    </row>
    <row r="21" spans="1:11" ht="12.75">
      <c r="A21" s="66">
        <v>43739</v>
      </c>
      <c r="B21" s="64">
        <v>779215073.4199998</v>
      </c>
      <c r="C21" s="64">
        <v>4744278.04</v>
      </c>
      <c r="D21" s="64">
        <f t="shared" si="0"/>
        <v>725638750.59</v>
      </c>
      <c r="E21" s="64">
        <v>48832044.78999983</v>
      </c>
      <c r="F21" s="65">
        <f>157749/31</f>
        <v>5088.677419354839</v>
      </c>
      <c r="G21" s="64">
        <f t="shared" si="1"/>
        <v>309.5553365789946</v>
      </c>
      <c r="I21" s="64">
        <v>24660182.630000003</v>
      </c>
      <c r="J21" s="64">
        <v>4883204.5</v>
      </c>
      <c r="K21" s="64">
        <v>19288657.689999994</v>
      </c>
    </row>
    <row r="22" spans="1:11" ht="12.75">
      <c r="A22" s="66">
        <v>43770</v>
      </c>
      <c r="B22" s="64">
        <v>799161157.9399999</v>
      </c>
      <c r="C22" s="64">
        <v>4712603.47</v>
      </c>
      <c r="D22" s="64">
        <f t="shared" si="0"/>
        <v>744482954.1299999</v>
      </c>
      <c r="E22" s="64">
        <v>49965600.34</v>
      </c>
      <c r="F22" s="65">
        <f>154276/30</f>
        <v>5142.533333333334</v>
      </c>
      <c r="G22" s="64">
        <f>IF(ISBLANK(B22),"",+E22/F22/30)</f>
        <v>323.87150522440305</v>
      </c>
      <c r="I22" s="64">
        <v>25232628.160000004</v>
      </c>
      <c r="J22" s="64">
        <v>4996560.04</v>
      </c>
      <c r="K22" s="64">
        <v>19736412.129999995</v>
      </c>
    </row>
    <row r="23" spans="1:11" ht="12.75">
      <c r="A23" s="66">
        <v>43800</v>
      </c>
      <c r="B23" s="64">
        <v>794575618.02</v>
      </c>
      <c r="C23" s="64">
        <v>5198470.97</v>
      </c>
      <c r="D23" s="64">
        <f t="shared" si="0"/>
        <v>741244831.3</v>
      </c>
      <c r="E23" s="64">
        <v>48132315.74999999</v>
      </c>
      <c r="F23" s="65">
        <f>152305/31</f>
        <v>4913.064516129032</v>
      </c>
      <c r="G23" s="64">
        <f t="shared" si="1"/>
        <v>316.0258412396178</v>
      </c>
      <c r="I23" s="64">
        <v>24306819.450000007</v>
      </c>
      <c r="J23" s="64">
        <v>4813231.619999999</v>
      </c>
      <c r="K23" s="64">
        <v>19012264.729999997</v>
      </c>
    </row>
    <row r="24" spans="1:11" ht="12.75">
      <c r="A24" s="66">
        <v>43831</v>
      </c>
      <c r="B24" s="64">
        <v>805949836.61</v>
      </c>
      <c r="C24" s="64">
        <v>4887796.02</v>
      </c>
      <c r="D24" s="64">
        <f t="shared" si="0"/>
        <v>751120810.77</v>
      </c>
      <c r="E24" s="64">
        <v>49941229.82</v>
      </c>
      <c r="F24" s="65">
        <f>144791/31</f>
        <v>4670.677419354839</v>
      </c>
      <c r="G24" s="64">
        <f t="shared" si="1"/>
        <v>344.9194343571078</v>
      </c>
      <c r="I24" s="64">
        <v>25220321.07</v>
      </c>
      <c r="J24" s="64">
        <v>4994122.99</v>
      </c>
      <c r="K24" s="64">
        <v>19726785.79</v>
      </c>
    </row>
    <row r="25" spans="1:11" ht="12.75">
      <c r="A25" s="66">
        <v>43862</v>
      </c>
      <c r="B25" s="64">
        <v>846740997.75</v>
      </c>
      <c r="C25" s="64">
        <v>5704431.0600000005</v>
      </c>
      <c r="D25" s="64">
        <f t="shared" si="0"/>
        <v>789113053.2</v>
      </c>
      <c r="E25" s="64">
        <v>51923513.49</v>
      </c>
      <c r="F25" s="65">
        <f>135829/29</f>
        <v>4683.758620689655</v>
      </c>
      <c r="G25" s="64">
        <f>IF(ISBLANK(B25),"",+E25/F25/29)</f>
        <v>382.2711901729381</v>
      </c>
      <c r="I25" s="64">
        <v>26221374.299999993</v>
      </c>
      <c r="J25" s="64">
        <v>5192351.369999999</v>
      </c>
      <c r="K25" s="64">
        <v>20509787.86</v>
      </c>
    </row>
    <row r="26" spans="1:11" ht="12.75">
      <c r="A26" s="66">
        <v>43891</v>
      </c>
      <c r="B26" s="64">
        <v>318823644.71000004</v>
      </c>
      <c r="C26" s="64">
        <v>2362118.4</v>
      </c>
      <c r="D26" s="64">
        <f t="shared" si="0"/>
        <v>297648466.25000006</v>
      </c>
      <c r="E26" s="64">
        <v>18813060.059999995</v>
      </c>
      <c r="F26" s="65">
        <f>61269/13</f>
        <v>4713</v>
      </c>
      <c r="G26" s="64">
        <f>IF(ISBLANK(B26),"",+E26/F26/13)</f>
        <v>307.0567507222249</v>
      </c>
      <c r="I26" s="64">
        <v>9500595.34</v>
      </c>
      <c r="J26" s="64">
        <v>1881306.0099999998</v>
      </c>
      <c r="K26" s="64">
        <v>7431158.72</v>
      </c>
    </row>
    <row r="27" spans="1:11" ht="13.5" thickBot="1">
      <c r="A27" s="96" t="s">
        <v>19</v>
      </c>
      <c r="B27" s="93">
        <f>SUM(B15:B26)</f>
        <v>9265656782.699997</v>
      </c>
      <c r="C27" s="93">
        <f>SUM(C15:C26)</f>
        <v>60124451.85</v>
      </c>
      <c r="D27" s="93">
        <f>SUM(D15:D26)</f>
        <v>8628972990.570002</v>
      </c>
      <c r="E27" s="93">
        <f>SUM(E15:E26)</f>
        <v>576559340.2799999</v>
      </c>
      <c r="F27" s="95">
        <f>_xlfn.IFERROR(AVERAGE(F15:F26),"")</f>
        <v>5040.774687924854</v>
      </c>
      <c r="G27" s="93">
        <f>E27/F27/348</f>
        <v>328.6756135752469</v>
      </c>
      <c r="H27" s="94"/>
      <c r="I27" s="93">
        <f>SUM(I15:I26)</f>
        <v>290514151.99595004</v>
      </c>
      <c r="J27" s="93">
        <f>SUM(J15:J26)</f>
        <v>57655934.19900001</v>
      </c>
      <c r="K27" s="93">
        <f>SUM(K15:K26)</f>
        <v>228389254.29505</v>
      </c>
    </row>
    <row r="28" spans="2:11" ht="10.5" customHeight="1" thickTop="1">
      <c r="B28" s="92"/>
      <c r="C28" s="92"/>
      <c r="D28" s="92"/>
      <c r="E28" s="92"/>
      <c r="I28" s="92"/>
      <c r="J28" s="92"/>
      <c r="K28" s="92"/>
    </row>
    <row r="29" spans="1:11" s="89" customFormat="1" ht="12.75">
      <c r="A29" s="91"/>
      <c r="B29" s="90"/>
      <c r="C29" s="90">
        <f>_xlfn.IFERROR(C27/B27,"")</f>
        <v>0.006488957368058245</v>
      </c>
      <c r="D29" s="90">
        <f>_xlfn.IFERROR(D27/B27,"")</f>
        <v>0.9312856274453469</v>
      </c>
      <c r="E29" s="90">
        <f>_xlfn.IFERROR(E27/B27,"")</f>
        <v>0.062225415186595266</v>
      </c>
      <c r="I29" s="90">
        <f>_xlfn.IFERROR(I27/$E$27,"")</f>
        <v>0.5038755453252478</v>
      </c>
      <c r="J29" s="90">
        <f>_xlfn.IFERROR(J27/$E$27,"")</f>
        <v>0.10000000029658704</v>
      </c>
      <c r="K29" s="90">
        <f>_xlfn.IFERROR(K27/$E$27,"")</f>
        <v>0.3961244547423951</v>
      </c>
    </row>
    <row r="31" spans="1:11" s="88" customFormat="1" ht="12.75">
      <c r="A31" s="117" t="s">
        <v>20</v>
      </c>
      <c r="B31" s="118"/>
      <c r="C31" s="118"/>
      <c r="D31" s="118"/>
      <c r="E31" s="118"/>
      <c r="F31" s="118"/>
      <c r="G31" s="118"/>
      <c r="H31" s="118"/>
      <c r="I31" s="118"/>
      <c r="J31" s="118"/>
      <c r="K31" s="118"/>
    </row>
    <row r="32" ht="12.75">
      <c r="A32" s="68"/>
    </row>
    <row r="33" spans="1:11" s="45" customFormat="1" ht="12.75" customHeight="1">
      <c r="A33" s="41" t="s">
        <v>21</v>
      </c>
      <c r="B33" s="42"/>
      <c r="C33" s="43" t="s">
        <v>87</v>
      </c>
      <c r="D33" s="44"/>
      <c r="E33" s="44"/>
      <c r="F33" s="44"/>
      <c r="G33" s="44"/>
      <c r="H33" s="44"/>
      <c r="I33" s="44"/>
      <c r="J33" s="44"/>
      <c r="K33" s="44"/>
    </row>
    <row r="34" spans="1:11" s="45" customFormat="1" ht="12.75" customHeight="1">
      <c r="A34" s="41"/>
      <c r="B34" s="42"/>
      <c r="C34" s="43" t="s">
        <v>88</v>
      </c>
      <c r="D34" s="44"/>
      <c r="E34" s="44"/>
      <c r="F34" s="44"/>
      <c r="G34" s="44"/>
      <c r="H34" s="44"/>
      <c r="I34" s="44"/>
      <c r="J34" s="44"/>
      <c r="K34" s="44"/>
    </row>
    <row r="35" spans="1:11" s="45" customFormat="1" ht="6" customHeight="1">
      <c r="A35" s="41"/>
      <c r="B35" s="42"/>
      <c r="C35" s="43"/>
      <c r="D35" s="110"/>
      <c r="E35" s="44"/>
      <c r="F35" s="44"/>
      <c r="G35" s="44"/>
      <c r="H35" s="44"/>
      <c r="I35" s="44"/>
      <c r="J35" s="44"/>
      <c r="K35" s="44"/>
    </row>
    <row r="36" spans="1:11" ht="12.75">
      <c r="A36" s="87" t="s">
        <v>90</v>
      </c>
      <c r="B36" s="71"/>
      <c r="C36" s="71" t="s">
        <v>80</v>
      </c>
      <c r="D36" s="71"/>
      <c r="E36" s="71"/>
      <c r="F36" s="71"/>
      <c r="G36" s="71"/>
      <c r="H36" s="71"/>
      <c r="I36" s="71"/>
      <c r="J36" s="71"/>
      <c r="K36" s="71"/>
    </row>
    <row r="37" spans="1:11" s="45" customFormat="1" ht="6" customHeight="1">
      <c r="A37" s="41"/>
      <c r="B37" s="42"/>
      <c r="C37" s="43"/>
      <c r="D37" s="110"/>
      <c r="E37" s="111"/>
      <c r="F37" s="43"/>
      <c r="G37" s="43"/>
      <c r="H37" s="43"/>
      <c r="I37" s="43"/>
      <c r="J37" s="42"/>
      <c r="K37" s="42"/>
    </row>
    <row r="38" spans="1:11" s="45" customFormat="1" ht="12.75">
      <c r="A38" s="41" t="s">
        <v>22</v>
      </c>
      <c r="B38" s="42"/>
      <c r="C38" s="43" t="s">
        <v>94</v>
      </c>
      <c r="D38" s="110"/>
      <c r="E38" s="111"/>
      <c r="F38" s="43"/>
      <c r="G38" s="43"/>
      <c r="H38" s="43"/>
      <c r="I38" s="43"/>
      <c r="J38" s="42"/>
      <c r="K38" s="42"/>
    </row>
    <row r="39" spans="1:11" s="45" customFormat="1" ht="6" customHeight="1">
      <c r="A39" s="41"/>
      <c r="B39" s="42"/>
      <c r="C39" s="43"/>
      <c r="D39" s="110"/>
      <c r="E39" s="111"/>
      <c r="F39" s="43"/>
      <c r="G39" s="43"/>
      <c r="H39" s="43"/>
      <c r="I39" s="43"/>
      <c r="J39" s="42"/>
      <c r="K39" s="42"/>
    </row>
    <row r="40" spans="1:11" s="45" customFormat="1" ht="12.75">
      <c r="A40" s="41" t="s">
        <v>24</v>
      </c>
      <c r="B40" s="42"/>
      <c r="C40" s="42" t="s">
        <v>54</v>
      </c>
      <c r="D40" s="110"/>
      <c r="E40" s="111"/>
      <c r="F40" s="47"/>
      <c r="G40" s="42"/>
      <c r="H40" s="42"/>
      <c r="I40" s="42"/>
      <c r="J40" s="42"/>
      <c r="K40" s="42"/>
    </row>
    <row r="41" spans="1:11" s="45" customFormat="1" ht="12.75">
      <c r="A41" s="41"/>
      <c r="B41" s="42"/>
      <c r="C41" s="42" t="s">
        <v>55</v>
      </c>
      <c r="D41" s="110"/>
      <c r="E41" s="111"/>
      <c r="F41" s="47"/>
      <c r="G41" s="42"/>
      <c r="H41" s="42"/>
      <c r="I41" s="42"/>
      <c r="J41" s="42"/>
      <c r="K41" s="42"/>
    </row>
    <row r="42" spans="1:11" s="45" customFormat="1" ht="6" customHeight="1">
      <c r="A42" s="41"/>
      <c r="B42" s="42"/>
      <c r="C42" s="42"/>
      <c r="D42" s="110"/>
      <c r="E42" s="111"/>
      <c r="F42" s="47"/>
      <c r="G42" s="42"/>
      <c r="H42" s="42"/>
      <c r="I42" s="42"/>
      <c r="J42" s="42"/>
      <c r="K42" s="42"/>
    </row>
    <row r="43" spans="1:11" s="45" customFormat="1" ht="12.75">
      <c r="A43" s="41" t="s">
        <v>27</v>
      </c>
      <c r="B43" s="42"/>
      <c r="C43" s="42" t="s">
        <v>28</v>
      </c>
      <c r="D43" s="110"/>
      <c r="E43" s="111"/>
      <c r="F43" s="47"/>
      <c r="G43" s="42"/>
      <c r="H43" s="42"/>
      <c r="I43" s="42"/>
      <c r="J43" s="42"/>
      <c r="K43" s="42"/>
    </row>
    <row r="44" spans="1:11" s="45" customFormat="1" ht="6" customHeight="1">
      <c r="A44" s="41"/>
      <c r="B44" s="42"/>
      <c r="C44" s="42"/>
      <c r="D44" s="110"/>
      <c r="E44" s="111"/>
      <c r="F44" s="47"/>
      <c r="G44" s="42"/>
      <c r="H44" s="42"/>
      <c r="I44" s="42"/>
      <c r="J44" s="42"/>
      <c r="K44" s="42"/>
    </row>
    <row r="45" spans="1:11" s="45" customFormat="1" ht="12.75">
      <c r="A45" s="41" t="s">
        <v>67</v>
      </c>
      <c r="B45" s="42"/>
      <c r="C45" s="42" t="s">
        <v>68</v>
      </c>
      <c r="D45" s="111"/>
      <c r="E45" s="47"/>
      <c r="F45" s="42"/>
      <c r="G45" s="42"/>
      <c r="H45" s="42"/>
      <c r="I45" s="42"/>
      <c r="J45" s="42"/>
      <c r="K45" s="42"/>
    </row>
    <row r="46" spans="1:11" s="45" customFormat="1" ht="12.75">
      <c r="A46" s="41"/>
      <c r="B46" s="42"/>
      <c r="C46" s="42" t="s">
        <v>77</v>
      </c>
      <c r="D46" s="111"/>
      <c r="E46" s="47"/>
      <c r="F46" s="42"/>
      <c r="G46" s="42"/>
      <c r="H46" s="42"/>
      <c r="I46" s="42"/>
      <c r="J46" s="42"/>
      <c r="K46" s="42"/>
    </row>
    <row r="47" spans="1:11" s="45" customFormat="1" ht="12.75">
      <c r="A47" s="41"/>
      <c r="B47" s="42"/>
      <c r="C47" s="42" t="s">
        <v>78</v>
      </c>
      <c r="D47" s="111"/>
      <c r="E47" s="47"/>
      <c r="F47" s="42"/>
      <c r="G47" s="42"/>
      <c r="H47" s="42"/>
      <c r="I47" s="42"/>
      <c r="J47" s="42"/>
      <c r="K47" s="42"/>
    </row>
    <row r="48" spans="1:11" s="45" customFormat="1" ht="3" customHeight="1">
      <c r="A48" s="41"/>
      <c r="B48" s="42"/>
      <c r="C48" s="42"/>
      <c r="D48" s="111"/>
      <c r="E48" s="47"/>
      <c r="F48" s="42"/>
      <c r="G48" s="42"/>
      <c r="H48" s="42"/>
      <c r="I48" s="42"/>
      <c r="J48" s="42"/>
      <c r="K48" s="42"/>
    </row>
    <row r="49" spans="1:11" s="45" customFormat="1" ht="12.75" customHeight="1">
      <c r="A49" s="41"/>
      <c r="B49" s="42"/>
      <c r="C49" s="43" t="s">
        <v>108</v>
      </c>
      <c r="D49" s="43"/>
      <c r="E49" s="43"/>
      <c r="F49" s="43"/>
      <c r="G49" s="43"/>
      <c r="H49" s="43"/>
      <c r="I49" s="43"/>
      <c r="J49" s="43"/>
      <c r="K49" s="43"/>
    </row>
    <row r="50" spans="1:11" s="45" customFormat="1" ht="12.75">
      <c r="A50" s="41"/>
      <c r="B50" s="42"/>
      <c r="C50" s="43" t="s">
        <v>107</v>
      </c>
      <c r="D50" s="43"/>
      <c r="E50" s="43"/>
      <c r="F50" s="43"/>
      <c r="G50" s="43"/>
      <c r="H50" s="43"/>
      <c r="I50" s="43"/>
      <c r="J50" s="43"/>
      <c r="K50" s="43"/>
    </row>
    <row r="51" spans="1:11" s="45" customFormat="1" ht="12.75">
      <c r="A51" s="41"/>
      <c r="B51" s="42"/>
      <c r="C51" s="43" t="s">
        <v>109</v>
      </c>
      <c r="D51" s="43"/>
      <c r="E51" s="43"/>
      <c r="F51" s="43"/>
      <c r="G51" s="43"/>
      <c r="H51" s="43"/>
      <c r="I51" s="43"/>
      <c r="J51" s="43"/>
      <c r="K51" s="43"/>
    </row>
    <row r="52" spans="1:11" s="45" customFormat="1" ht="6" customHeight="1">
      <c r="A52" s="41"/>
      <c r="B52" s="42"/>
      <c r="C52" s="42"/>
      <c r="D52" s="110"/>
      <c r="E52" s="111"/>
      <c r="F52" s="47"/>
      <c r="G52" s="42"/>
      <c r="H52" s="42"/>
      <c r="I52" s="42"/>
      <c r="J52" s="42"/>
      <c r="K52" s="42"/>
    </row>
    <row r="53" spans="1:11" s="45" customFormat="1" ht="12.75">
      <c r="A53" s="41" t="s">
        <v>79</v>
      </c>
      <c r="B53" s="42"/>
      <c r="C53" s="42" t="s">
        <v>72</v>
      </c>
      <c r="D53" s="111"/>
      <c r="E53" s="47"/>
      <c r="F53" s="42"/>
      <c r="G53" s="42"/>
      <c r="H53" s="42"/>
      <c r="I53" s="42"/>
      <c r="J53" s="42"/>
      <c r="K53" s="42"/>
    </row>
    <row r="54" spans="1:11" s="45" customFormat="1" ht="12.75">
      <c r="A54" s="48"/>
      <c r="B54" s="42"/>
      <c r="C54" s="42" t="s">
        <v>73</v>
      </c>
      <c r="D54" s="111"/>
      <c r="E54" s="47"/>
      <c r="F54" s="42"/>
      <c r="G54" s="42"/>
      <c r="H54" s="42"/>
      <c r="I54" s="42"/>
      <c r="J54" s="42"/>
      <c r="K54" s="42"/>
    </row>
    <row r="55" spans="1:11" ht="12.75">
      <c r="A55" s="86"/>
      <c r="B55" s="84"/>
      <c r="C55" s="84"/>
      <c r="D55" s="71"/>
      <c r="E55" s="84"/>
      <c r="F55" s="85"/>
      <c r="G55" s="84"/>
      <c r="H55" s="84"/>
      <c r="I55" s="84"/>
      <c r="J55" s="84"/>
      <c r="K55" s="84"/>
    </row>
    <row r="56" spans="1:11" ht="12.75">
      <c r="A56" s="117" t="s">
        <v>30</v>
      </c>
      <c r="B56" s="118"/>
      <c r="C56" s="118"/>
      <c r="D56" s="118"/>
      <c r="E56" s="118"/>
      <c r="F56" s="118"/>
      <c r="G56" s="118"/>
      <c r="H56" s="118"/>
      <c r="I56" s="118"/>
      <c r="J56" s="118"/>
      <c r="K56" s="118"/>
    </row>
    <row r="57" ht="12.75">
      <c r="A57" s="68"/>
    </row>
    <row r="58" spans="1:11" ht="13.5">
      <c r="A58" s="83"/>
      <c r="D58" s="82" t="s">
        <v>8</v>
      </c>
      <c r="E58" s="54" t="s">
        <v>75</v>
      </c>
      <c r="F58" s="116" t="s">
        <v>81</v>
      </c>
      <c r="G58" s="116"/>
      <c r="H58" s="116"/>
      <c r="I58" s="116"/>
      <c r="J58" s="63"/>
      <c r="K58" s="63"/>
    </row>
    <row r="59" spans="1:11" ht="12.75">
      <c r="A59" s="81"/>
      <c r="D59" s="78" t="s">
        <v>16</v>
      </c>
      <c r="E59" s="55" t="s">
        <v>76</v>
      </c>
      <c r="F59" s="78" t="s">
        <v>82</v>
      </c>
      <c r="G59" s="80" t="s">
        <v>83</v>
      </c>
      <c r="H59" s="79"/>
      <c r="I59" s="78" t="s">
        <v>84</v>
      </c>
      <c r="J59" s="63"/>
      <c r="K59" s="63"/>
    </row>
    <row r="60" spans="2:11" ht="12.75">
      <c r="B60" s="109"/>
      <c r="C60" s="109"/>
      <c r="D60" s="74">
        <v>0.505</v>
      </c>
      <c r="E60" s="74">
        <v>0.1</v>
      </c>
      <c r="F60" s="74">
        <v>0.295</v>
      </c>
      <c r="G60" s="76">
        <v>0.0875</v>
      </c>
      <c r="H60" s="75"/>
      <c r="I60" s="74">
        <v>0.0125</v>
      </c>
      <c r="J60" s="63"/>
      <c r="K60" s="63"/>
    </row>
    <row r="61" spans="2:11" ht="12.75">
      <c r="B61" s="73"/>
      <c r="C61" s="73"/>
      <c r="D61" s="73"/>
      <c r="E61" s="71"/>
      <c r="F61" s="72"/>
      <c r="G61" s="70"/>
      <c r="H61" s="71"/>
      <c r="I61" s="70"/>
      <c r="J61" s="70"/>
      <c r="K61" s="70"/>
    </row>
    <row r="62" spans="1:11" ht="13.5" customHeight="1">
      <c r="A62" s="119" t="s">
        <v>36</v>
      </c>
      <c r="B62" s="120"/>
      <c r="C62" s="120"/>
      <c r="D62" s="120"/>
      <c r="E62" s="120"/>
      <c r="F62" s="120"/>
      <c r="G62" s="120"/>
      <c r="H62" s="120"/>
      <c r="I62" s="120"/>
      <c r="J62" s="120"/>
      <c r="K62" s="120"/>
    </row>
    <row r="63" spans="1:6" ht="12.75">
      <c r="A63" s="68"/>
      <c r="E63" s="63"/>
      <c r="F63" s="64"/>
    </row>
    <row r="64" spans="1:11" ht="54" customHeight="1">
      <c r="A64" s="121" t="s">
        <v>106</v>
      </c>
      <c r="B64" s="122"/>
      <c r="C64" s="122"/>
      <c r="D64" s="122"/>
      <c r="E64" s="122"/>
      <c r="F64" s="122"/>
      <c r="G64" s="122"/>
      <c r="H64" s="122"/>
      <c r="I64" s="122"/>
      <c r="J64" s="122"/>
      <c r="K64" s="122"/>
    </row>
    <row r="65" spans="1:6" ht="12.75">
      <c r="A65" s="64"/>
      <c r="E65" s="63"/>
      <c r="F65" s="64"/>
    </row>
    <row r="66" spans="2:5" ht="12.75">
      <c r="B66" s="68" t="s">
        <v>37</v>
      </c>
      <c r="C66" s="68"/>
      <c r="D66" s="68"/>
      <c r="E66" s="64">
        <v>19600000</v>
      </c>
    </row>
    <row r="67" spans="2:4" ht="12.75">
      <c r="B67" s="68"/>
      <c r="C67" s="68"/>
      <c r="D67" s="68"/>
    </row>
    <row r="68" ht="12.75">
      <c r="A68" s="67" t="s">
        <v>91</v>
      </c>
    </row>
  </sheetData>
  <sheetProtection/>
  <mergeCells count="12">
    <mergeCell ref="A62:K62"/>
    <mergeCell ref="A64:K64"/>
    <mergeCell ref="I10:K10"/>
    <mergeCell ref="A31:K31"/>
    <mergeCell ref="A56:K56"/>
    <mergeCell ref="F58:I58"/>
    <mergeCell ref="A1:K1"/>
    <mergeCell ref="A2:K2"/>
    <mergeCell ref="A3:K3"/>
    <mergeCell ref="A4:K4"/>
    <mergeCell ref="A5:K5"/>
    <mergeCell ref="A8:K8"/>
  </mergeCells>
  <hyperlinks>
    <hyperlink ref="A4" r:id="rId1" display="www.yonkersraceway.com"/>
  </hyperlinks>
  <printOptions horizontalCentered="1"/>
  <pageMargins left="0.25" right="0.25" top="0.75" bottom="0.5" header="0.5" footer="0.5"/>
  <pageSetup fitToHeight="1" fitToWidth="1" horizontalDpi="600" verticalDpi="600" orientation="portrait" scale="79" r:id="rId3"/>
  <ignoredErrors>
    <ignoredError sqref="G17:G24" formula="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3">
      <selection activeCell="F27" sqref="F27"/>
    </sheetView>
  </sheetViews>
  <sheetFormatPr defaultColWidth="9.140625" defaultRowHeight="12.75"/>
  <cols>
    <col min="1" max="1" width="9.28125" style="66" customWidth="1"/>
    <col min="2" max="2" width="15.421875" style="64" bestFit="1" customWidth="1"/>
    <col min="3" max="3" width="12.7109375" style="64" customWidth="1"/>
    <col min="4" max="4" width="14.28125" style="64" customWidth="1"/>
    <col min="5" max="5" width="13.00390625" style="64" customWidth="1"/>
    <col min="6" max="6" width="8.28125" style="65" customWidth="1"/>
    <col min="7" max="7" width="9.00390625" style="64" customWidth="1"/>
    <col min="8" max="8" width="1.421875" style="64" customWidth="1"/>
    <col min="9" max="9" width="12.7109375" style="64" bestFit="1" customWidth="1"/>
    <col min="10" max="10" width="13.00390625" style="64" customWidth="1"/>
    <col min="11" max="12" width="12.8515625" style="64" bestFit="1" customWidth="1"/>
    <col min="13" max="13" width="10.7109375" style="64" bestFit="1" customWidth="1"/>
    <col min="14" max="14" width="12.7109375" style="63" customWidth="1"/>
    <col min="15" max="16384" width="9.140625" style="63" customWidth="1"/>
  </cols>
  <sheetData>
    <row r="1" spans="1:13" ht="18">
      <c r="A1" s="123" t="s">
        <v>50</v>
      </c>
      <c r="B1" s="123"/>
      <c r="C1" s="123"/>
      <c r="D1" s="123"/>
      <c r="E1" s="123"/>
      <c r="F1" s="123"/>
      <c r="G1" s="123"/>
      <c r="H1" s="123"/>
      <c r="I1" s="123"/>
      <c r="J1" s="123"/>
      <c r="K1" s="123"/>
      <c r="L1" s="123"/>
      <c r="M1" s="123"/>
    </row>
    <row r="2" spans="1:13" ht="15">
      <c r="A2" s="124" t="s">
        <v>0</v>
      </c>
      <c r="B2" s="124"/>
      <c r="C2" s="124"/>
      <c r="D2" s="124"/>
      <c r="E2" s="124"/>
      <c r="F2" s="124"/>
      <c r="G2" s="124"/>
      <c r="H2" s="124"/>
      <c r="I2" s="124"/>
      <c r="J2" s="124"/>
      <c r="K2" s="124"/>
      <c r="L2" s="124"/>
      <c r="M2" s="124"/>
    </row>
    <row r="3" spans="1:13" s="103" customFormat="1" ht="15">
      <c r="A3" s="124" t="s">
        <v>1</v>
      </c>
      <c r="B3" s="124"/>
      <c r="C3" s="124"/>
      <c r="D3" s="124"/>
      <c r="E3" s="124"/>
      <c r="F3" s="124"/>
      <c r="G3" s="124"/>
      <c r="H3" s="124"/>
      <c r="I3" s="124"/>
      <c r="J3" s="124"/>
      <c r="K3" s="124"/>
      <c r="L3" s="124"/>
      <c r="M3" s="124"/>
    </row>
    <row r="4" spans="1:13" s="103" customFormat="1" ht="14.25">
      <c r="A4" s="125" t="s">
        <v>2</v>
      </c>
      <c r="B4" s="125"/>
      <c r="C4" s="125"/>
      <c r="D4" s="125"/>
      <c r="E4" s="125"/>
      <c r="F4" s="125"/>
      <c r="G4" s="125"/>
      <c r="H4" s="125"/>
      <c r="I4" s="125"/>
      <c r="J4" s="125"/>
      <c r="K4" s="125"/>
      <c r="L4" s="125"/>
      <c r="M4" s="125"/>
    </row>
    <row r="5" spans="1:13" s="103" customFormat="1" ht="14.25">
      <c r="A5" s="126" t="s">
        <v>3</v>
      </c>
      <c r="B5" s="126"/>
      <c r="C5" s="126"/>
      <c r="D5" s="126"/>
      <c r="E5" s="126"/>
      <c r="F5" s="126"/>
      <c r="G5" s="126"/>
      <c r="H5" s="126"/>
      <c r="I5" s="126"/>
      <c r="J5" s="126"/>
      <c r="K5" s="126"/>
      <c r="L5" s="126"/>
      <c r="M5" s="126"/>
    </row>
    <row r="6" spans="1:13" s="103" customFormat="1" ht="14.25">
      <c r="A6" s="108"/>
      <c r="B6" s="108"/>
      <c r="C6" s="108"/>
      <c r="D6" s="108"/>
      <c r="E6" s="108"/>
      <c r="F6" s="108"/>
      <c r="G6" s="108"/>
      <c r="H6" s="108"/>
      <c r="I6" s="108"/>
      <c r="J6" s="108"/>
      <c r="K6" s="108"/>
      <c r="L6" s="108"/>
      <c r="M6" s="108"/>
    </row>
    <row r="7" spans="1:13" s="103" customFormat="1" ht="12.75">
      <c r="A7" s="66"/>
      <c r="B7" s="106"/>
      <c r="C7" s="106"/>
      <c r="D7" s="106"/>
      <c r="E7" s="104"/>
      <c r="F7" s="105"/>
      <c r="G7" s="104"/>
      <c r="H7" s="104"/>
      <c r="I7" s="104"/>
      <c r="J7" s="104"/>
      <c r="K7" s="104"/>
      <c r="L7" s="104"/>
      <c r="M7" s="104"/>
    </row>
    <row r="8" spans="1:13" s="107" customFormat="1" ht="14.25" customHeight="1">
      <c r="A8" s="117" t="s">
        <v>104</v>
      </c>
      <c r="B8" s="118"/>
      <c r="C8" s="118"/>
      <c r="D8" s="118"/>
      <c r="E8" s="118"/>
      <c r="F8" s="118"/>
      <c r="G8" s="118"/>
      <c r="H8" s="118"/>
      <c r="I8" s="118"/>
      <c r="J8" s="118"/>
      <c r="K8" s="118"/>
      <c r="L8" s="118"/>
      <c r="M8" s="128"/>
    </row>
    <row r="9" spans="1:13" s="103" customFormat="1" ht="9" customHeight="1">
      <c r="A9" s="66"/>
      <c r="B9" s="106"/>
      <c r="C9" s="106"/>
      <c r="D9" s="106"/>
      <c r="E9" s="104"/>
      <c r="F9" s="105"/>
      <c r="G9" s="104"/>
      <c r="H9" s="104"/>
      <c r="I9" s="104"/>
      <c r="J9" s="104"/>
      <c r="K9" s="104"/>
      <c r="L9" s="104"/>
      <c r="M9" s="104"/>
    </row>
    <row r="10" spans="1:13" s="103" customFormat="1" ht="12.75">
      <c r="A10" s="66"/>
      <c r="B10" s="104"/>
      <c r="C10" s="104"/>
      <c r="D10" s="104"/>
      <c r="E10" s="104"/>
      <c r="F10" s="105"/>
      <c r="G10" s="104"/>
      <c r="H10" s="104"/>
      <c r="I10" s="116" t="s">
        <v>4</v>
      </c>
      <c r="J10" s="116"/>
      <c r="K10" s="116"/>
      <c r="L10" s="116"/>
      <c r="M10" s="116"/>
    </row>
    <row r="11" spans="1:13" s="103" customFormat="1" ht="12.75">
      <c r="A11" s="66"/>
      <c r="B11" s="104"/>
      <c r="C11" s="104"/>
      <c r="D11" s="104"/>
      <c r="E11" s="104"/>
      <c r="F11" s="105"/>
      <c r="G11" s="104"/>
      <c r="H11" s="104"/>
      <c r="I11" s="104"/>
      <c r="J11" s="104"/>
      <c r="K11" s="104"/>
      <c r="L11" s="104"/>
      <c r="M11" s="104"/>
    </row>
    <row r="12" spans="1:13" s="97" customFormat="1" ht="12">
      <c r="A12" s="102"/>
      <c r="B12" s="82" t="s">
        <v>5</v>
      </c>
      <c r="C12" s="82" t="s">
        <v>65</v>
      </c>
      <c r="D12" s="82" t="s">
        <v>5</v>
      </c>
      <c r="E12" s="82"/>
      <c r="F12" s="101" t="s">
        <v>6</v>
      </c>
      <c r="G12" s="82" t="s">
        <v>7</v>
      </c>
      <c r="H12" s="82"/>
      <c r="I12" s="82" t="s">
        <v>8</v>
      </c>
      <c r="J12" s="82" t="s">
        <v>74</v>
      </c>
      <c r="K12" s="82" t="s">
        <v>9</v>
      </c>
      <c r="L12" s="54" t="s">
        <v>75</v>
      </c>
      <c r="M12" s="82" t="s">
        <v>40</v>
      </c>
    </row>
    <row r="13" spans="1:13" s="97" customFormat="1" ht="12">
      <c r="A13" s="100" t="s">
        <v>10</v>
      </c>
      <c r="B13" s="78" t="s">
        <v>11</v>
      </c>
      <c r="C13" s="78" t="s">
        <v>18</v>
      </c>
      <c r="D13" s="78" t="s">
        <v>12</v>
      </c>
      <c r="E13" s="78" t="s">
        <v>13</v>
      </c>
      <c r="F13" s="99" t="s">
        <v>14</v>
      </c>
      <c r="G13" s="78" t="s">
        <v>15</v>
      </c>
      <c r="H13" s="98"/>
      <c r="I13" s="78" t="s">
        <v>16</v>
      </c>
      <c r="J13" s="78" t="s">
        <v>17</v>
      </c>
      <c r="K13" s="78" t="s">
        <v>18</v>
      </c>
      <c r="L13" s="55" t="s">
        <v>76</v>
      </c>
      <c r="M13" s="78" t="s">
        <v>41</v>
      </c>
    </row>
    <row r="15" spans="1:13" ht="12.75">
      <c r="A15" s="66">
        <v>43191</v>
      </c>
      <c r="B15" s="64">
        <v>858550727.31</v>
      </c>
      <c r="C15" s="64">
        <f>6920870.54-11195</f>
        <v>6909675.54</v>
      </c>
      <c r="D15" s="64">
        <f aca="true" t="shared" si="0" ref="D15:D26">IF(ISBLANK(B15),"",B15-C15-E15)</f>
        <v>798169310.8199999</v>
      </c>
      <c r="E15" s="64">
        <v>53471740.95</v>
      </c>
      <c r="F15" s="65">
        <f>156660/30</f>
        <v>5222</v>
      </c>
      <c r="G15" s="64">
        <f>E15/F15/30</f>
        <v>341.32350919188053</v>
      </c>
      <c r="I15" s="64">
        <v>25131718.25</v>
      </c>
      <c r="J15" s="64">
        <v>16576239.68</v>
      </c>
      <c r="K15" s="64">
        <v>4277739.28</v>
      </c>
      <c r="L15" s="64">
        <v>5347174.13</v>
      </c>
      <c r="M15" s="64">
        <v>2138869.64</v>
      </c>
    </row>
    <row r="16" spans="1:13" ht="12.75">
      <c r="A16" s="66">
        <v>43221</v>
      </c>
      <c r="B16" s="71">
        <v>866026184.88</v>
      </c>
      <c r="C16" s="64">
        <f>7291267.6-12165</f>
        <v>7279102.6</v>
      </c>
      <c r="D16" s="64">
        <f t="shared" si="0"/>
        <v>806396253.98</v>
      </c>
      <c r="E16" s="64">
        <v>52350828.3</v>
      </c>
      <c r="F16" s="65">
        <f>161882/31</f>
        <v>5222</v>
      </c>
      <c r="G16" s="64">
        <f>IF(ISBLANK(B16),"",+E16/F16/31)</f>
        <v>323.38881592765097</v>
      </c>
      <c r="I16" s="64">
        <v>26337792.09</v>
      </c>
      <c r="J16" s="64">
        <v>16228756.8</v>
      </c>
      <c r="K16" s="64">
        <v>4188066.28</v>
      </c>
      <c r="L16" s="64">
        <v>5235082.84</v>
      </c>
      <c r="M16" s="64">
        <v>361130.36</v>
      </c>
    </row>
    <row r="17" spans="1:13" ht="12.75">
      <c r="A17" s="66">
        <v>43252</v>
      </c>
      <c r="B17" s="64">
        <v>844022755.12</v>
      </c>
      <c r="C17" s="64">
        <f>7892282.29-10697</f>
        <v>7881585.29</v>
      </c>
      <c r="D17" s="64">
        <f t="shared" si="0"/>
        <v>784974537.26</v>
      </c>
      <c r="E17" s="64">
        <v>51166632.57</v>
      </c>
      <c r="F17" s="65">
        <f>156612/30</f>
        <v>5220.4</v>
      </c>
      <c r="G17" s="64">
        <f>IF(ISBLANK(B17),"",+E17/F17/30)</f>
        <v>326.7095278139606</v>
      </c>
      <c r="I17" s="64">
        <v>26094982.58</v>
      </c>
      <c r="J17" s="64">
        <v>15861656.08</v>
      </c>
      <c r="K17" s="64">
        <v>4093330.61</v>
      </c>
      <c r="L17" s="64">
        <v>5116663.29</v>
      </c>
      <c r="M17" s="64">
        <v>0</v>
      </c>
    </row>
    <row r="18" spans="1:13" ht="12.75">
      <c r="A18" s="66">
        <v>43282</v>
      </c>
      <c r="B18" s="64">
        <v>837276513.92</v>
      </c>
      <c r="C18" s="64">
        <f>7815049.94-25375</f>
        <v>7789674.94</v>
      </c>
      <c r="D18" s="64">
        <f t="shared" si="0"/>
        <v>778959317.0299999</v>
      </c>
      <c r="E18" s="64">
        <v>50527521.95</v>
      </c>
      <c r="F18" s="65">
        <f>161834/31</f>
        <v>5220.451612903225</v>
      </c>
      <c r="G18" s="64">
        <f aca="true" t="shared" si="1" ref="G18:G26">IF(ISBLANK(B18),"",+E18/F18/31)</f>
        <v>312.21821094454816</v>
      </c>
      <c r="I18" s="64">
        <v>25769036.17</v>
      </c>
      <c r="J18" s="64">
        <v>15663531.81</v>
      </c>
      <c r="K18" s="64">
        <v>4042201.76</v>
      </c>
      <c r="L18" s="64">
        <v>5052752.23</v>
      </c>
      <c r="M18" s="64">
        <v>0</v>
      </c>
    </row>
    <row r="19" spans="1:13" ht="12.75">
      <c r="A19" s="66">
        <v>43313</v>
      </c>
      <c r="B19" s="64">
        <v>838203141.21</v>
      </c>
      <c r="C19" s="64">
        <v>7165167.64</v>
      </c>
      <c r="D19" s="64">
        <f t="shared" si="0"/>
        <v>780204170.75</v>
      </c>
      <c r="E19" s="64">
        <v>50833802.82</v>
      </c>
      <c r="F19" s="65">
        <f>161882/31</f>
        <v>5222</v>
      </c>
      <c r="G19" s="64">
        <f t="shared" si="1"/>
        <v>314.0176351910651</v>
      </c>
      <c r="I19" s="64">
        <v>25925239.42</v>
      </c>
      <c r="J19" s="64">
        <v>15758478.88</v>
      </c>
      <c r="K19" s="64">
        <v>4066704.24</v>
      </c>
      <c r="L19" s="64">
        <v>5083380.33</v>
      </c>
      <c r="M19" s="64">
        <v>0</v>
      </c>
    </row>
    <row r="20" spans="1:13" ht="12.75">
      <c r="A20" s="66">
        <v>43344</v>
      </c>
      <c r="B20" s="71">
        <v>836122654.29</v>
      </c>
      <c r="C20" s="64">
        <f>8905130.83-11054.8</f>
        <v>8894076.03</v>
      </c>
      <c r="D20" s="64">
        <f t="shared" si="0"/>
        <v>778525690.5</v>
      </c>
      <c r="E20" s="64">
        <v>48702887.76</v>
      </c>
      <c r="F20" s="65">
        <f>156660/30</f>
        <v>5222</v>
      </c>
      <c r="G20" s="64">
        <f>IF(ISBLANK(B20),"",+E20/F20/30)</f>
        <v>310.8827253925699</v>
      </c>
      <c r="I20" s="64">
        <v>24838472.77</v>
      </c>
      <c r="J20" s="64">
        <v>15097895.22</v>
      </c>
      <c r="K20" s="64">
        <v>3896231.05</v>
      </c>
      <c r="L20" s="64">
        <v>4870288.78</v>
      </c>
      <c r="M20" s="64">
        <v>0</v>
      </c>
    </row>
    <row r="21" spans="1:13" ht="12.75">
      <c r="A21" s="66">
        <v>43374</v>
      </c>
      <c r="B21" s="64">
        <v>817261353.56</v>
      </c>
      <c r="C21" s="64">
        <f>7501615.04-11304</f>
        <v>7490311.04</v>
      </c>
      <c r="D21" s="64">
        <f t="shared" si="0"/>
        <v>762405084.5</v>
      </c>
      <c r="E21" s="64">
        <v>47365958.02</v>
      </c>
      <c r="F21" s="65">
        <f>161882/31</f>
        <v>5222</v>
      </c>
      <c r="G21" s="64">
        <f t="shared" si="1"/>
        <v>292.59558209065864</v>
      </c>
      <c r="I21" s="64">
        <v>24156638.57</v>
      </c>
      <c r="J21" s="64">
        <v>14683446.99</v>
      </c>
      <c r="K21" s="64">
        <v>3789276.65</v>
      </c>
      <c r="L21" s="64">
        <v>4736595.82</v>
      </c>
      <c r="M21" s="64">
        <v>0</v>
      </c>
    </row>
    <row r="22" spans="1:13" ht="12.75">
      <c r="A22" s="66">
        <v>43405</v>
      </c>
      <c r="B22" s="64">
        <v>779783159.27</v>
      </c>
      <c r="C22" s="64">
        <f>6902346.43-18274.4</f>
        <v>6884072.029999999</v>
      </c>
      <c r="D22" s="64">
        <f t="shared" si="0"/>
        <v>726643656.72</v>
      </c>
      <c r="E22" s="64">
        <v>46255430.52</v>
      </c>
      <c r="F22" s="65">
        <f>156660/30</f>
        <v>5222</v>
      </c>
      <c r="G22" s="64">
        <f>IF(ISBLANK(B22),"",+E22/F22/30)</f>
        <v>295.2599931060896</v>
      </c>
      <c r="I22" s="64">
        <v>23590269.57</v>
      </c>
      <c r="J22" s="64">
        <v>14339183.45</v>
      </c>
      <c r="K22" s="64">
        <v>3700434.47</v>
      </c>
      <c r="L22" s="64">
        <v>4625543.06</v>
      </c>
      <c r="M22" s="64">
        <v>0</v>
      </c>
    </row>
    <row r="23" spans="1:13" ht="12.75">
      <c r="A23" s="66">
        <v>43435</v>
      </c>
      <c r="B23" s="64">
        <v>851593361.14</v>
      </c>
      <c r="C23" s="64">
        <f>7745846.9-13081.4</f>
        <v>7732765.5</v>
      </c>
      <c r="D23" s="64">
        <f t="shared" si="0"/>
        <v>791822471.14</v>
      </c>
      <c r="E23" s="64">
        <v>52038124.5</v>
      </c>
      <c r="F23" s="65">
        <f>161882/31</f>
        <v>5222</v>
      </c>
      <c r="G23" s="64">
        <f t="shared" si="1"/>
        <v>321.45713853300555</v>
      </c>
      <c r="I23" s="64">
        <v>26539443.51</v>
      </c>
      <c r="J23" s="64">
        <v>16131818.61</v>
      </c>
      <c r="K23" s="64">
        <v>4163049.96</v>
      </c>
      <c r="L23" s="64">
        <v>5203812.47</v>
      </c>
      <c r="M23" s="64">
        <v>0</v>
      </c>
    </row>
    <row r="24" spans="1:13" ht="12.75">
      <c r="A24" s="66">
        <v>43466</v>
      </c>
      <c r="B24" s="64">
        <v>772921302.97</v>
      </c>
      <c r="C24" s="64">
        <f>7192176.33-11330</f>
        <v>7180846.33</v>
      </c>
      <c r="D24" s="64">
        <f t="shared" si="0"/>
        <v>719469481.0799999</v>
      </c>
      <c r="E24" s="64">
        <v>46270975.56</v>
      </c>
      <c r="F24" s="65">
        <f>161882/31</f>
        <v>5222</v>
      </c>
      <c r="G24" s="64">
        <f t="shared" si="1"/>
        <v>285.83150418205855</v>
      </c>
      <c r="I24" s="64">
        <v>23598197.53</v>
      </c>
      <c r="J24" s="64">
        <v>14344002.4</v>
      </c>
      <c r="K24" s="64">
        <v>3701678.05</v>
      </c>
      <c r="L24" s="64">
        <v>4627097.57</v>
      </c>
      <c r="M24" s="64">
        <v>0</v>
      </c>
    </row>
    <row r="25" spans="1:13" ht="12.75">
      <c r="A25" s="66">
        <v>43497</v>
      </c>
      <c r="B25" s="64">
        <v>799031796.79</v>
      </c>
      <c r="C25" s="64">
        <f>7391756.87-99176.65</f>
        <v>7292580.22</v>
      </c>
      <c r="D25" s="64">
        <f t="shared" si="0"/>
        <v>743009442.03</v>
      </c>
      <c r="E25" s="64">
        <v>48729774.54</v>
      </c>
      <c r="F25" s="65">
        <f>146216/28</f>
        <v>5222</v>
      </c>
      <c r="G25" s="64">
        <f>IF(ISBLANK(B25),"",+E25/F25/28)</f>
        <v>333.2725183290474</v>
      </c>
      <c r="I25" s="64">
        <v>24852185.01</v>
      </c>
      <c r="J25" s="64">
        <v>15106230.08</v>
      </c>
      <c r="K25" s="64">
        <v>3898381.99</v>
      </c>
      <c r="L25" s="64">
        <v>4872977.48</v>
      </c>
      <c r="M25" s="64">
        <v>0</v>
      </c>
    </row>
    <row r="26" spans="1:13" ht="12.75">
      <c r="A26" s="66">
        <v>43525</v>
      </c>
      <c r="B26" s="64">
        <v>942012984.23</v>
      </c>
      <c r="C26" s="64">
        <f>8194700.85-73928.75</f>
        <v>8120772.1</v>
      </c>
      <c r="D26" s="64">
        <f t="shared" si="0"/>
        <v>875615313.5</v>
      </c>
      <c r="E26" s="64">
        <v>58276898.63</v>
      </c>
      <c r="F26" s="65">
        <f>161882/31</f>
        <v>5222</v>
      </c>
      <c r="G26" s="64">
        <f t="shared" si="1"/>
        <v>359.99616158683483</v>
      </c>
      <c r="I26" s="64">
        <v>29721218.28</v>
      </c>
      <c r="J26" s="64">
        <v>18065838.58</v>
      </c>
      <c r="K26" s="64">
        <v>4662151.89</v>
      </c>
      <c r="L26" s="64">
        <v>5827689.88</v>
      </c>
      <c r="M26" s="64">
        <v>0</v>
      </c>
    </row>
    <row r="27" spans="1:13" ht="13.5" thickBot="1">
      <c r="A27" s="96" t="s">
        <v>19</v>
      </c>
      <c r="B27" s="93">
        <f>SUM(B15:B26)</f>
        <v>10042805934.689999</v>
      </c>
      <c r="C27" s="93">
        <f>SUM(C15:C26)</f>
        <v>90620629.25999999</v>
      </c>
      <c r="D27" s="93">
        <f>SUM(D15:D26)</f>
        <v>9346194729.310001</v>
      </c>
      <c r="E27" s="93">
        <f>SUM(E15:E26)</f>
        <v>605990576.1199999</v>
      </c>
      <c r="F27" s="95">
        <f>AVERAGE(F15:F26)</f>
        <v>5221.7376344086015</v>
      </c>
      <c r="G27" s="93">
        <f>AVERAGE(G15:G26)</f>
        <v>318.07944352411414</v>
      </c>
      <c r="H27" s="94"/>
      <c r="I27" s="93">
        <f>SUM(I15:I26)</f>
        <v>306555193.75</v>
      </c>
      <c r="J27" s="93">
        <f>SUM(J15:J26)</f>
        <v>187857078.57999998</v>
      </c>
      <c r="K27" s="93">
        <f>SUM(K15:K26)</f>
        <v>48479246.23</v>
      </c>
      <c r="L27" s="93">
        <f>SUM(L15:L26)</f>
        <v>60599057.88</v>
      </c>
      <c r="M27" s="93">
        <f>SUM(M15:M26)</f>
        <v>2500000</v>
      </c>
    </row>
    <row r="28" spans="2:13" ht="10.5" customHeight="1" thickTop="1">
      <c r="B28" s="92"/>
      <c r="C28" s="92"/>
      <c r="D28" s="92"/>
      <c r="E28" s="92"/>
      <c r="I28" s="92"/>
      <c r="J28" s="92"/>
      <c r="K28" s="92"/>
      <c r="L28" s="92"/>
      <c r="M28" s="92"/>
    </row>
    <row r="29" spans="1:13" s="89" customFormat="1" ht="12.75">
      <c r="A29" s="91"/>
      <c r="B29" s="90"/>
      <c r="C29" s="90">
        <f>C27/B27</f>
        <v>0.009023437259399483</v>
      </c>
      <c r="D29" s="90">
        <f>D27/B27</f>
        <v>0.9306357994060451</v>
      </c>
      <c r="E29" s="90">
        <f>E27/B27</f>
        <v>0.060340763334555625</v>
      </c>
      <c r="I29" s="90">
        <f>I27/$E$27</f>
        <v>0.5058745231861412</v>
      </c>
      <c r="J29" s="90">
        <f>J27/$E$27</f>
        <v>0.30999999997161676</v>
      </c>
      <c r="K29" s="90">
        <f>K27/$E$27</f>
        <v>0.08000000023168678</v>
      </c>
      <c r="L29" s="90">
        <f>L27/$E$27</f>
        <v>0.10000000044225113</v>
      </c>
      <c r="M29" s="90">
        <f>M27/$E$27</f>
        <v>0.0041254766963652306</v>
      </c>
    </row>
    <row r="31" spans="1:13" s="88" customFormat="1" ht="12.75">
      <c r="A31" s="117" t="s">
        <v>20</v>
      </c>
      <c r="B31" s="118"/>
      <c r="C31" s="118"/>
      <c r="D31" s="118"/>
      <c r="E31" s="118"/>
      <c r="F31" s="118"/>
      <c r="G31" s="118"/>
      <c r="H31" s="118"/>
      <c r="I31" s="118"/>
      <c r="J31" s="118"/>
      <c r="K31" s="118"/>
      <c r="L31" s="118"/>
      <c r="M31" s="128"/>
    </row>
    <row r="32" ht="12.75">
      <c r="A32" s="68"/>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87" t="s">
        <v>90</v>
      </c>
      <c r="B36" s="71"/>
      <c r="C36" s="71" t="s">
        <v>80</v>
      </c>
      <c r="F36" s="71"/>
      <c r="G36" s="71"/>
      <c r="H36" s="71"/>
      <c r="I36" s="71"/>
      <c r="J36" s="71"/>
      <c r="K36" s="71"/>
      <c r="L36" s="71"/>
      <c r="M36" s="71"/>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86"/>
      <c r="B58" s="84"/>
      <c r="C58" s="84"/>
      <c r="D58" s="71"/>
      <c r="E58" s="84"/>
      <c r="F58" s="85"/>
      <c r="G58" s="84"/>
      <c r="H58" s="84"/>
      <c r="I58" s="84"/>
      <c r="J58" s="84"/>
      <c r="K58" s="84"/>
      <c r="L58" s="84"/>
      <c r="M58" s="84"/>
    </row>
    <row r="59" spans="1:13" ht="12.75">
      <c r="A59" s="117" t="s">
        <v>30</v>
      </c>
      <c r="B59" s="118"/>
      <c r="C59" s="118"/>
      <c r="D59" s="118"/>
      <c r="E59" s="118"/>
      <c r="F59" s="118"/>
      <c r="G59" s="118"/>
      <c r="H59" s="118"/>
      <c r="I59" s="118"/>
      <c r="J59" s="118"/>
      <c r="K59" s="118"/>
      <c r="L59" s="118"/>
      <c r="M59" s="128"/>
    </row>
    <row r="60" ht="12.75">
      <c r="A60" s="68"/>
    </row>
    <row r="61" spans="1:13" ht="13.5">
      <c r="A61" s="83"/>
      <c r="E61" s="82" t="s">
        <v>8</v>
      </c>
      <c r="F61" s="116" t="s">
        <v>81</v>
      </c>
      <c r="G61" s="116"/>
      <c r="H61" s="116"/>
      <c r="I61" s="116"/>
      <c r="J61" s="82" t="s">
        <v>9</v>
      </c>
      <c r="K61" s="54" t="s">
        <v>75</v>
      </c>
      <c r="L61" s="82" t="s">
        <v>40</v>
      </c>
      <c r="M61" s="77"/>
    </row>
    <row r="62" spans="1:13" ht="12.75">
      <c r="A62" s="81"/>
      <c r="E62" s="78" t="s">
        <v>16</v>
      </c>
      <c r="F62" s="78" t="s">
        <v>82</v>
      </c>
      <c r="G62" s="80" t="s">
        <v>83</v>
      </c>
      <c r="H62" s="79"/>
      <c r="I62" s="78" t="s">
        <v>84</v>
      </c>
      <c r="J62" s="78" t="s">
        <v>18</v>
      </c>
      <c r="K62" s="55" t="s">
        <v>76</v>
      </c>
      <c r="L62" s="78" t="s">
        <v>41</v>
      </c>
      <c r="M62" s="77"/>
    </row>
    <row r="63" spans="2:13" ht="12.75">
      <c r="B63" s="129" t="s">
        <v>49</v>
      </c>
      <c r="C63" s="129"/>
      <c r="D63" s="129"/>
      <c r="E63" s="74">
        <v>0.47</v>
      </c>
      <c r="F63" s="74">
        <v>0.21</v>
      </c>
      <c r="G63" s="76">
        <v>0.0875</v>
      </c>
      <c r="H63" s="75"/>
      <c r="I63" s="74">
        <v>0.0125</v>
      </c>
      <c r="J63" s="74">
        <v>0.08</v>
      </c>
      <c r="K63" s="74">
        <v>0.1</v>
      </c>
      <c r="L63" s="74">
        <v>0.04</v>
      </c>
      <c r="M63" s="69"/>
    </row>
    <row r="64" spans="2:13" ht="12.75">
      <c r="B64" s="129" t="s">
        <v>53</v>
      </c>
      <c r="C64" s="129"/>
      <c r="D64" s="129"/>
      <c r="E64" s="74">
        <v>0.51</v>
      </c>
      <c r="F64" s="74">
        <v>0.21</v>
      </c>
      <c r="G64" s="76">
        <v>0.0875</v>
      </c>
      <c r="H64" s="75"/>
      <c r="I64" s="74">
        <v>0.0125</v>
      </c>
      <c r="J64" s="74">
        <v>0.08</v>
      </c>
      <c r="K64" s="74">
        <v>0.1</v>
      </c>
      <c r="L64" s="74">
        <v>0</v>
      </c>
      <c r="M64" s="69"/>
    </row>
    <row r="65" spans="2:13" ht="12.75">
      <c r="B65" s="73"/>
      <c r="C65" s="73"/>
      <c r="D65" s="73"/>
      <c r="E65" s="71"/>
      <c r="F65" s="72"/>
      <c r="G65" s="70"/>
      <c r="H65" s="71"/>
      <c r="I65" s="70"/>
      <c r="J65" s="70"/>
      <c r="K65" s="70"/>
      <c r="L65" s="70"/>
      <c r="M65" s="69"/>
    </row>
    <row r="66" spans="1:13" ht="13.5" customHeight="1">
      <c r="A66" s="119" t="s">
        <v>36</v>
      </c>
      <c r="B66" s="120"/>
      <c r="C66" s="120"/>
      <c r="D66" s="120"/>
      <c r="E66" s="120"/>
      <c r="F66" s="120"/>
      <c r="G66" s="120"/>
      <c r="H66" s="120"/>
      <c r="I66" s="120"/>
      <c r="J66" s="120"/>
      <c r="K66" s="120"/>
      <c r="L66" s="120"/>
      <c r="M66" s="127"/>
    </row>
    <row r="67" spans="1:6" ht="12.75">
      <c r="A67" s="68"/>
      <c r="E67" s="63"/>
      <c r="F67" s="64"/>
    </row>
    <row r="68" spans="1:13" ht="54" customHeight="1">
      <c r="A68" s="121" t="s">
        <v>103</v>
      </c>
      <c r="B68" s="122"/>
      <c r="C68" s="122"/>
      <c r="D68" s="122"/>
      <c r="E68" s="122"/>
      <c r="F68" s="122"/>
      <c r="G68" s="122"/>
      <c r="H68" s="122"/>
      <c r="I68" s="122"/>
      <c r="J68" s="122"/>
      <c r="K68" s="122"/>
      <c r="L68" s="122"/>
      <c r="M68" s="122"/>
    </row>
    <row r="69" spans="1:6" ht="12.75">
      <c r="A69" s="64"/>
      <c r="E69" s="63"/>
      <c r="F69" s="64"/>
    </row>
    <row r="70" spans="2:5" ht="12.75">
      <c r="B70" s="68" t="s">
        <v>37</v>
      </c>
      <c r="C70" s="68"/>
      <c r="D70" s="68"/>
      <c r="E70" s="64">
        <v>19600000</v>
      </c>
    </row>
    <row r="71" spans="2:4" ht="12.75">
      <c r="B71" s="68"/>
      <c r="C71" s="68"/>
      <c r="D71" s="68"/>
    </row>
    <row r="72" ht="12.75">
      <c r="A72" s="67" t="s">
        <v>91</v>
      </c>
    </row>
  </sheetData>
  <sheetProtection/>
  <mergeCells count="14">
    <mergeCell ref="A8:M8"/>
    <mergeCell ref="A1:M1"/>
    <mergeCell ref="A2:M2"/>
    <mergeCell ref="A3:M3"/>
    <mergeCell ref="A4:M4"/>
    <mergeCell ref="A5:M5"/>
    <mergeCell ref="A66:M66"/>
    <mergeCell ref="A68:M68"/>
    <mergeCell ref="I10:M10"/>
    <mergeCell ref="A31:M31"/>
    <mergeCell ref="A59:M59"/>
    <mergeCell ref="F61:I61"/>
    <mergeCell ref="B63:D63"/>
    <mergeCell ref="B64:D64"/>
  </mergeCells>
  <hyperlinks>
    <hyperlink ref="A4" r:id="rId1" display="www.yonkersraceway.com"/>
  </hyperlinks>
  <printOptions horizontalCentered="1"/>
  <pageMargins left="0.25" right="0.25" top="0.75" bottom="0.5" header="0.5" footer="0.5"/>
  <pageSetup fitToHeight="1" fitToWidth="1" horizontalDpi="600" verticalDpi="600" orientation="portrait" scale="71" r:id="rId3"/>
  <ignoredErrors>
    <ignoredError sqref="F17:G25" formula="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P72"/>
  <sheetViews>
    <sheetView zoomScalePageLayoutView="0" workbookViewId="0" topLeftCell="A16">
      <selection activeCell="F27" sqref="F27:G27"/>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 min="16" max="16" width="12.7109375" style="0" bestFit="1"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101</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42826</v>
      </c>
      <c r="B15" s="16">
        <v>863051314.2399998</v>
      </c>
      <c r="C15" s="16">
        <v>5963622.239999998</v>
      </c>
      <c r="D15" s="16">
        <f aca="true" t="shared" si="0" ref="D15:D26">+B15-C15-E15</f>
        <v>803175479.3999997</v>
      </c>
      <c r="E15" s="16">
        <v>53912212.599999994</v>
      </c>
      <c r="F15" s="17">
        <f>156660/30</f>
        <v>5222</v>
      </c>
      <c r="G15" s="16">
        <f>E15/F15/30</f>
        <v>344.1351500063832</v>
      </c>
      <c r="I15" s="16">
        <v>25338739.910000004</v>
      </c>
      <c r="J15" s="16">
        <v>16712785.890000004</v>
      </c>
      <c r="K15" s="16">
        <v>4312977</v>
      </c>
      <c r="L15" s="16">
        <v>5391221.26</v>
      </c>
      <c r="M15" s="16">
        <v>2156488.5100000002</v>
      </c>
    </row>
    <row r="16" spans="1:13" ht="12.75">
      <c r="A16" s="3">
        <v>42856</v>
      </c>
      <c r="B16" s="26">
        <v>866038782.95</v>
      </c>
      <c r="C16" s="16">
        <v>6753219.979999999</v>
      </c>
      <c r="D16" s="16">
        <f t="shared" si="0"/>
        <v>806398186.54</v>
      </c>
      <c r="E16" s="16">
        <v>52887376.43000001</v>
      </c>
      <c r="F16" s="17">
        <f>161882/31</f>
        <v>5222</v>
      </c>
      <c r="G16" s="16">
        <f>+E16/F16/31</f>
        <v>326.70325564299924</v>
      </c>
      <c r="I16" s="16">
        <v>26629050.49</v>
      </c>
      <c r="J16" s="16">
        <v>16395086.68</v>
      </c>
      <c r="K16" s="16">
        <v>4230990.13</v>
      </c>
      <c r="L16" s="16">
        <v>5288737.66</v>
      </c>
      <c r="M16" s="16">
        <v>343511.49</v>
      </c>
    </row>
    <row r="17" spans="1:13" ht="12.75">
      <c r="A17" s="3">
        <v>42887</v>
      </c>
      <c r="B17" s="16">
        <v>807014795.3999997</v>
      </c>
      <c r="C17" s="16">
        <v>6694265.029999999</v>
      </c>
      <c r="D17" s="16">
        <f t="shared" si="0"/>
        <v>751016088.7399998</v>
      </c>
      <c r="E17" s="16">
        <v>49304441.63</v>
      </c>
      <c r="F17" s="17">
        <f>156660/30</f>
        <v>5222</v>
      </c>
      <c r="G17" s="16">
        <f>E17/F17/30</f>
        <v>314.7225943444402</v>
      </c>
      <c r="I17" s="16">
        <v>25145265.219999995</v>
      </c>
      <c r="J17" s="16">
        <v>15284376.899999999</v>
      </c>
      <c r="K17" s="16">
        <v>3944355.32</v>
      </c>
      <c r="L17" s="16">
        <v>4930444.17</v>
      </c>
      <c r="M17" s="16">
        <v>0</v>
      </c>
    </row>
    <row r="18" spans="1:13" ht="12.75">
      <c r="A18" s="3">
        <v>42917</v>
      </c>
      <c r="B18" s="16">
        <v>870369306.54</v>
      </c>
      <c r="C18" s="16">
        <v>6971737.5600000005</v>
      </c>
      <c r="D18" s="16">
        <f t="shared" si="0"/>
        <v>810992200.78</v>
      </c>
      <c r="E18" s="16">
        <v>52405368.200000025</v>
      </c>
      <c r="F18" s="17">
        <v>5208</v>
      </c>
      <c r="G18" s="16">
        <v>325</v>
      </c>
      <c r="I18" s="16">
        <v>26726737.79</v>
      </c>
      <c r="J18" s="16">
        <v>16245664.149999997</v>
      </c>
      <c r="K18" s="16">
        <v>4192429.4899999998</v>
      </c>
      <c r="L18" s="16">
        <v>5240536.829999999</v>
      </c>
      <c r="M18" s="16">
        <v>0</v>
      </c>
    </row>
    <row r="19" spans="1:13" ht="12.75">
      <c r="A19" s="3">
        <v>42948</v>
      </c>
      <c r="B19" s="16">
        <v>827718557.44</v>
      </c>
      <c r="C19" s="16">
        <v>7167634.95</v>
      </c>
      <c r="D19" s="16">
        <f t="shared" si="0"/>
        <v>771555672.38</v>
      </c>
      <c r="E19" s="16">
        <v>48995250.11</v>
      </c>
      <c r="F19" s="17">
        <f>161882/31</f>
        <v>5222</v>
      </c>
      <c r="G19" s="16">
        <v>303</v>
      </c>
      <c r="I19" s="16">
        <v>24987577.540000003</v>
      </c>
      <c r="J19" s="16">
        <v>15188527.56</v>
      </c>
      <c r="K19" s="16">
        <v>3919620.0200000005</v>
      </c>
      <c r="L19" s="16">
        <v>4899525.0200000005</v>
      </c>
      <c r="M19" s="16">
        <v>0</v>
      </c>
    </row>
    <row r="20" spans="1:16" ht="12.75">
      <c r="A20" s="3">
        <v>42979</v>
      </c>
      <c r="B20" s="26">
        <v>839803121.06</v>
      </c>
      <c r="C20" s="16">
        <v>7389686.4</v>
      </c>
      <c r="D20" s="16">
        <f t="shared" si="0"/>
        <v>782324490.7099999</v>
      </c>
      <c r="E20" s="16">
        <v>50088943.949999996</v>
      </c>
      <c r="F20" s="17">
        <f>156660/30</f>
        <v>5222</v>
      </c>
      <c r="G20" s="16">
        <f>E20/F20/30</f>
        <v>319.73026905400224</v>
      </c>
      <c r="I20" s="16">
        <v>25545361.42</v>
      </c>
      <c r="J20" s="16">
        <v>15527137.840000004</v>
      </c>
      <c r="K20" s="16">
        <v>4007115.51</v>
      </c>
      <c r="L20" s="16">
        <v>5009329.1899999995</v>
      </c>
      <c r="M20" s="16">
        <v>0</v>
      </c>
      <c r="P20" s="16"/>
    </row>
    <row r="21" spans="1:16" ht="12.75">
      <c r="A21" s="3">
        <v>43009</v>
      </c>
      <c r="B21" s="16">
        <v>795711480.3099997</v>
      </c>
      <c r="C21" s="16">
        <v>7007270.679999999</v>
      </c>
      <c r="D21" s="16">
        <f t="shared" si="0"/>
        <v>740350425.0699997</v>
      </c>
      <c r="E21" s="16">
        <v>48353784.56000001</v>
      </c>
      <c r="F21" s="17">
        <f>161882/31</f>
        <v>5222</v>
      </c>
      <c r="G21" s="16">
        <f>+E21/F21/31</f>
        <v>298.69772155026504</v>
      </c>
      <c r="I21" s="16">
        <v>24660430.160000004</v>
      </c>
      <c r="J21" s="16">
        <v>14989673.219999999</v>
      </c>
      <c r="K21" s="16">
        <v>3868302.7500000005</v>
      </c>
      <c r="L21" s="16">
        <v>4835378.47</v>
      </c>
      <c r="M21" s="16">
        <v>0</v>
      </c>
      <c r="P21" s="16"/>
    </row>
    <row r="22" spans="1:16" ht="12.75">
      <c r="A22" s="3">
        <v>43040</v>
      </c>
      <c r="B22" s="16">
        <v>780962039.5799999</v>
      </c>
      <c r="C22" s="16">
        <v>6430250.520000001</v>
      </c>
      <c r="D22" s="16">
        <f t="shared" si="0"/>
        <v>727819476.01</v>
      </c>
      <c r="E22" s="16">
        <v>46712313.05</v>
      </c>
      <c r="F22" s="17">
        <f>156660/30</f>
        <v>5222</v>
      </c>
      <c r="G22" s="16">
        <f>E22/F22/30</f>
        <v>298.17638867611385</v>
      </c>
      <c r="I22" s="16">
        <v>23823279.629999995</v>
      </c>
      <c r="J22" s="16">
        <v>14480817.05</v>
      </c>
      <c r="K22" s="16">
        <v>3736985.05</v>
      </c>
      <c r="L22" s="16">
        <v>4671231.3</v>
      </c>
      <c r="M22" s="16">
        <v>0</v>
      </c>
      <c r="P22" s="16"/>
    </row>
    <row r="23" spans="1:13" ht="12.75">
      <c r="A23" s="3">
        <v>43070</v>
      </c>
      <c r="B23" s="16">
        <v>805812539.3199998</v>
      </c>
      <c r="C23" s="16">
        <v>6984414.780000002</v>
      </c>
      <c r="D23" s="16">
        <f t="shared" si="0"/>
        <v>750939138.0599998</v>
      </c>
      <c r="E23" s="16">
        <v>47888986.48</v>
      </c>
      <c r="F23" s="17">
        <f>161882/31</f>
        <v>5222</v>
      </c>
      <c r="G23" s="16">
        <f>+E23/F23/31</f>
        <v>295.8265062205804</v>
      </c>
      <c r="I23" s="16">
        <v>24423383.089999996</v>
      </c>
      <c r="J23" s="16">
        <v>14845585.790000001</v>
      </c>
      <c r="K23" s="16">
        <v>3831118.9200000004</v>
      </c>
      <c r="L23" s="16">
        <v>4788898.679999999</v>
      </c>
      <c r="M23" s="16">
        <v>0</v>
      </c>
    </row>
    <row r="24" spans="1:13" ht="12.75">
      <c r="A24" s="3">
        <v>43101</v>
      </c>
      <c r="B24" s="16">
        <v>757406523.8599999</v>
      </c>
      <c r="C24" s="16">
        <v>6816996.8599999985</v>
      </c>
      <c r="D24" s="16">
        <f t="shared" si="0"/>
        <v>704392564.4999999</v>
      </c>
      <c r="E24" s="16">
        <v>46196962.5</v>
      </c>
      <c r="F24" s="17">
        <f>161882/31</f>
        <v>5222</v>
      </c>
      <c r="G24" s="16">
        <f>+E24/F24/31</f>
        <v>285.3743004163527</v>
      </c>
      <c r="I24" s="16">
        <v>23560450.91</v>
      </c>
      <c r="J24" s="16">
        <v>14321058.379999997</v>
      </c>
      <c r="K24" s="16">
        <v>3695756.96</v>
      </c>
      <c r="L24" s="16">
        <v>4619696.28</v>
      </c>
      <c r="M24" s="16">
        <v>0</v>
      </c>
    </row>
    <row r="25" spans="1:13" ht="12.75">
      <c r="A25" s="3">
        <v>43132</v>
      </c>
      <c r="B25" s="16">
        <v>785632173.6999998</v>
      </c>
      <c r="C25" s="16">
        <v>6947486.8999999985</v>
      </c>
      <c r="D25" s="16">
        <f t="shared" si="0"/>
        <v>731869717.6399999</v>
      </c>
      <c r="E25" s="16">
        <v>46814969.16</v>
      </c>
      <c r="F25" s="17">
        <f>146216/28</f>
        <v>5222</v>
      </c>
      <c r="G25" s="16">
        <f>+E25/F25/28</f>
        <v>320.1767874924768</v>
      </c>
      <c r="I25" s="16">
        <v>23875634.279999997</v>
      </c>
      <c r="J25" s="16">
        <v>14512640.440000003</v>
      </c>
      <c r="K25" s="16">
        <v>3745197.5500000007</v>
      </c>
      <c r="L25" s="16">
        <v>4681496.95</v>
      </c>
      <c r="M25" s="16">
        <v>0</v>
      </c>
    </row>
    <row r="26" spans="1:13" ht="12.75">
      <c r="A26" s="3">
        <v>43160</v>
      </c>
      <c r="B26" s="16">
        <v>892398553.1800002</v>
      </c>
      <c r="C26" s="16">
        <v>6968598.670000002</v>
      </c>
      <c r="D26" s="16">
        <f t="shared" si="0"/>
        <v>830496624.7900002</v>
      </c>
      <c r="E26" s="16">
        <v>54933329.72</v>
      </c>
      <c r="F26" s="17">
        <f>161882/31</f>
        <v>5222</v>
      </c>
      <c r="G26" s="16">
        <f>+E26/F26/31</f>
        <v>339.34180279462817</v>
      </c>
      <c r="I26" s="16">
        <v>28015998.160000004</v>
      </c>
      <c r="J26" s="16">
        <v>17029332.24</v>
      </c>
      <c r="K26" s="16">
        <v>4394666.420000001</v>
      </c>
      <c r="L26" s="16">
        <v>5493333.000000001</v>
      </c>
      <c r="M26" s="16">
        <v>0</v>
      </c>
    </row>
    <row r="27" spans="1:13" ht="13.5" thickBot="1">
      <c r="A27" s="60" t="s">
        <v>19</v>
      </c>
      <c r="B27" s="61">
        <f>SUM(B15:B26)</f>
        <v>9891919187.579998</v>
      </c>
      <c r="C27" s="61">
        <f>SUM(C15:C26)</f>
        <v>82095184.57000001</v>
      </c>
      <c r="D27" s="61">
        <f>SUM(D15:D26)</f>
        <v>9211330064.619999</v>
      </c>
      <c r="E27" s="61">
        <f>SUM(E15:E26)</f>
        <v>598493938.3900001</v>
      </c>
      <c r="F27" s="62">
        <f>AVERAGE(F15:F26)</f>
        <v>5220.833333333333</v>
      </c>
      <c r="G27" s="61">
        <f>AVERAGE(G15:G26)</f>
        <v>314.24039801652015</v>
      </c>
      <c r="H27" s="33"/>
      <c r="I27" s="61">
        <f>SUM(I15:I26)</f>
        <v>302731908.6</v>
      </c>
      <c r="J27" s="61">
        <f>SUM(J15:J26)</f>
        <v>185532686.14</v>
      </c>
      <c r="K27" s="61">
        <f>SUM(K15:K26)</f>
        <v>47879515.120000005</v>
      </c>
      <c r="L27" s="61">
        <f>SUM(L15:L26)</f>
        <v>59849828.809999995</v>
      </c>
      <c r="M27" s="61">
        <f>SUM(M15:M26)</f>
        <v>2500000</v>
      </c>
    </row>
    <row r="28" spans="2:13" ht="10.5" customHeight="1" thickTop="1">
      <c r="B28" s="19"/>
      <c r="C28" s="19"/>
      <c r="D28" s="19"/>
      <c r="E28" s="19"/>
      <c r="I28" s="19"/>
      <c r="J28" s="19"/>
      <c r="K28" s="19"/>
      <c r="L28" s="19"/>
      <c r="M28" s="19"/>
    </row>
    <row r="29" spans="1:13" s="22" customFormat="1" ht="12.75">
      <c r="A29" s="20"/>
      <c r="B29" s="21"/>
      <c r="C29" s="21">
        <f>C27/B27</f>
        <v>0.008299217069330317</v>
      </c>
      <c r="D29" s="21">
        <f>D27/B27</f>
        <v>0.9311974643085917</v>
      </c>
      <c r="E29" s="21">
        <f>E27/B27</f>
        <v>0.060503318622078056</v>
      </c>
      <c r="I29" s="21">
        <f>I27/$E$27</f>
        <v>0.5058228482887809</v>
      </c>
      <c r="J29" s="21">
        <f>J27/$E$27</f>
        <v>0.3099992735750988</v>
      </c>
      <c r="K29" s="21">
        <f>K27/$E$27</f>
        <v>0.080000000081538</v>
      </c>
      <c r="L29" s="21">
        <f>L27/$E$27</f>
        <v>0.1000007267759489</v>
      </c>
      <c r="M29" s="21">
        <f>M27/$E$27</f>
        <v>0.0041771517464741816</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102</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1:M1"/>
    <mergeCell ref="A2:M2"/>
    <mergeCell ref="A3:M3"/>
    <mergeCell ref="A4:M4"/>
    <mergeCell ref="A5:M5"/>
    <mergeCell ref="A8:M8"/>
    <mergeCell ref="A66:M66"/>
    <mergeCell ref="A68:M68"/>
    <mergeCell ref="I10:M10"/>
    <mergeCell ref="A31:M31"/>
    <mergeCell ref="A59:M59"/>
    <mergeCell ref="F61:I61"/>
    <mergeCell ref="B63:D63"/>
    <mergeCell ref="B64:D64"/>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25">
      <selection activeCell="G27" sqref="G27"/>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98</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42461</v>
      </c>
      <c r="B15" s="16">
        <v>832238679.02</v>
      </c>
      <c r="C15" s="16">
        <v>5245444.67</v>
      </c>
      <c r="D15" s="16">
        <f aca="true" t="shared" si="0" ref="D15:D26">+B15-C15-E15</f>
        <v>773753075.75</v>
      </c>
      <c r="E15" s="16">
        <v>53240158.6</v>
      </c>
      <c r="F15" s="17">
        <v>5228</v>
      </c>
      <c r="G15" s="16">
        <f>E15/F15/30</f>
        <v>339.4552320836521</v>
      </c>
      <c r="I15" s="16">
        <v>25022874.54</v>
      </c>
      <c r="J15" s="16">
        <v>16504449.16</v>
      </c>
      <c r="K15" s="16">
        <v>4259212.7</v>
      </c>
      <c r="L15" s="16">
        <v>5324015.87</v>
      </c>
      <c r="M15" s="16">
        <v>2129606.36</v>
      </c>
    </row>
    <row r="16" spans="1:13" ht="12.75">
      <c r="A16" s="3">
        <v>42491</v>
      </c>
      <c r="B16" s="26">
        <v>846115960.67</v>
      </c>
      <c r="C16" s="16">
        <v>7374913.36</v>
      </c>
      <c r="D16" s="16">
        <f t="shared" si="0"/>
        <v>786241472.04</v>
      </c>
      <c r="E16" s="16">
        <v>52499575.27</v>
      </c>
      <c r="F16" s="17">
        <v>5243</v>
      </c>
      <c r="G16" s="16">
        <v>323</v>
      </c>
      <c r="I16" s="16">
        <v>26404389.76</v>
      </c>
      <c r="J16" s="16">
        <v>16274868.34</v>
      </c>
      <c r="K16" s="16">
        <v>4199966.02</v>
      </c>
      <c r="L16" s="16">
        <v>5249957.54</v>
      </c>
      <c r="M16" s="16">
        <v>370393.64</v>
      </c>
    </row>
    <row r="17" spans="1:13" ht="12.75">
      <c r="A17" s="3">
        <v>42522</v>
      </c>
      <c r="B17" s="16">
        <v>749029725.35</v>
      </c>
      <c r="C17" s="16">
        <v>5696623.64</v>
      </c>
      <c r="D17" s="16">
        <f t="shared" si="0"/>
        <v>695961981.1</v>
      </c>
      <c r="E17" s="16">
        <v>47371120.61</v>
      </c>
      <c r="F17" s="17">
        <v>5243</v>
      </c>
      <c r="G17" s="16">
        <v>301</v>
      </c>
      <c r="I17" s="16">
        <v>24159271.5</v>
      </c>
      <c r="J17" s="16">
        <v>14685047.41</v>
      </c>
      <c r="K17" s="16">
        <v>3789689.62</v>
      </c>
      <c r="L17" s="16">
        <v>4737112.07</v>
      </c>
      <c r="M17" s="16">
        <v>0</v>
      </c>
    </row>
    <row r="18" spans="1:13" ht="12.75">
      <c r="A18" s="3">
        <v>42552</v>
      </c>
      <c r="B18" s="16">
        <v>817949673.38</v>
      </c>
      <c r="C18" s="16">
        <v>5857196.25</v>
      </c>
      <c r="D18" s="16">
        <f t="shared" si="0"/>
        <v>760603083.19</v>
      </c>
      <c r="E18" s="16">
        <v>51489393.94</v>
      </c>
      <c r="F18" s="17">
        <v>5242</v>
      </c>
      <c r="G18" s="16">
        <v>317</v>
      </c>
      <c r="I18" s="16">
        <v>26259590.9</v>
      </c>
      <c r="J18" s="16">
        <v>15961712.13</v>
      </c>
      <c r="K18" s="16">
        <v>4119151.53</v>
      </c>
      <c r="L18" s="16">
        <v>5148939.41</v>
      </c>
      <c r="M18" s="16">
        <v>0</v>
      </c>
    </row>
    <row r="19" spans="1:13" ht="12.75">
      <c r="A19" s="3">
        <v>42583</v>
      </c>
      <c r="B19" s="16">
        <v>784479291.77</v>
      </c>
      <c r="C19" s="16">
        <v>6208712.53</v>
      </c>
      <c r="D19" s="16">
        <f t="shared" si="0"/>
        <v>730792945.38</v>
      </c>
      <c r="E19" s="16">
        <v>47477633.86</v>
      </c>
      <c r="F19" s="17">
        <v>5222</v>
      </c>
      <c r="G19" s="16">
        <v>293</v>
      </c>
      <c r="I19" s="16">
        <v>24213593.29</v>
      </c>
      <c r="J19" s="16">
        <v>14718066.51</v>
      </c>
      <c r="K19" s="16">
        <v>3798210.71</v>
      </c>
      <c r="L19" s="16">
        <v>4747763.37</v>
      </c>
      <c r="M19" s="16">
        <v>0</v>
      </c>
    </row>
    <row r="20" spans="1:13" ht="12.75">
      <c r="A20" s="3">
        <v>42614</v>
      </c>
      <c r="B20" s="26">
        <v>785345456.8</v>
      </c>
      <c r="C20" s="16">
        <v>6004288.19</v>
      </c>
      <c r="D20" s="16">
        <f t="shared" si="0"/>
        <v>730708353.2299999</v>
      </c>
      <c r="E20" s="16">
        <v>48632815.38</v>
      </c>
      <c r="F20" s="17">
        <v>5223</v>
      </c>
      <c r="G20" s="16">
        <v>310</v>
      </c>
      <c r="I20" s="16">
        <v>24802735.82</v>
      </c>
      <c r="J20" s="16">
        <v>15076172.75</v>
      </c>
      <c r="K20" s="16">
        <v>3890625.23</v>
      </c>
      <c r="L20" s="16">
        <v>4863281.54</v>
      </c>
      <c r="M20" s="16">
        <v>0</v>
      </c>
    </row>
    <row r="21" spans="1:13" ht="12.75">
      <c r="A21" s="3">
        <v>42644</v>
      </c>
      <c r="B21" s="16">
        <v>788342410.76</v>
      </c>
      <c r="C21" s="16">
        <v>6615147.66</v>
      </c>
      <c r="D21" s="16">
        <f t="shared" si="0"/>
        <v>733155486.1</v>
      </c>
      <c r="E21" s="16">
        <v>48571777</v>
      </c>
      <c r="F21" s="17">
        <v>5222</v>
      </c>
      <c r="G21" s="16">
        <v>300</v>
      </c>
      <c r="I21" s="16">
        <v>24771606.26</v>
      </c>
      <c r="J21" s="16">
        <v>15057250.86</v>
      </c>
      <c r="K21" s="16">
        <v>3885742.18</v>
      </c>
      <c r="L21" s="16">
        <v>4857177.73</v>
      </c>
      <c r="M21" s="16">
        <v>0</v>
      </c>
    </row>
    <row r="22" spans="1:13" ht="12.75">
      <c r="A22" s="3">
        <v>42675</v>
      </c>
      <c r="B22" s="16">
        <v>736137058.39</v>
      </c>
      <c r="C22" s="16">
        <v>5980737.89</v>
      </c>
      <c r="D22" s="16">
        <f t="shared" si="0"/>
        <v>684294528.21</v>
      </c>
      <c r="E22" s="16">
        <v>45861792.29</v>
      </c>
      <c r="F22" s="17">
        <v>5212</v>
      </c>
      <c r="G22" s="16">
        <v>293</v>
      </c>
      <c r="I22" s="16">
        <v>23389514.08</v>
      </c>
      <c r="J22" s="16">
        <v>14217155.66</v>
      </c>
      <c r="K22" s="16">
        <v>3668943.37</v>
      </c>
      <c r="L22" s="16">
        <v>4586179.22</v>
      </c>
      <c r="M22" s="16">
        <v>0</v>
      </c>
    </row>
    <row r="23" spans="1:13" ht="12.75">
      <c r="A23" s="3">
        <v>42705</v>
      </c>
      <c r="B23" s="16">
        <v>797763144.23</v>
      </c>
      <c r="C23" s="16">
        <v>5822583.85</v>
      </c>
      <c r="D23" s="16">
        <f t="shared" si="0"/>
        <v>743623528.73</v>
      </c>
      <c r="E23" s="16">
        <v>48317031.65</v>
      </c>
      <c r="F23" s="17">
        <v>5222</v>
      </c>
      <c r="G23" s="16">
        <v>298</v>
      </c>
      <c r="I23" s="16">
        <v>24641686.16</v>
      </c>
      <c r="J23" s="16">
        <v>14978279.82</v>
      </c>
      <c r="K23" s="16">
        <v>3865362.51</v>
      </c>
      <c r="L23" s="16">
        <v>4831703.2</v>
      </c>
      <c r="M23" s="16">
        <v>0</v>
      </c>
    </row>
    <row r="24" spans="1:13" ht="12.75">
      <c r="A24" s="3">
        <v>42736</v>
      </c>
      <c r="B24" s="16">
        <v>785005497.14</v>
      </c>
      <c r="C24" s="16">
        <v>6221143.26</v>
      </c>
      <c r="D24" s="16">
        <f t="shared" si="0"/>
        <v>730766400.42</v>
      </c>
      <c r="E24" s="16">
        <v>48017953.46</v>
      </c>
      <c r="F24" s="17">
        <v>5222</v>
      </c>
      <c r="G24" s="16">
        <v>297</v>
      </c>
      <c r="I24" s="16">
        <v>24489156.27</v>
      </c>
      <c r="J24" s="16">
        <v>14885565.56</v>
      </c>
      <c r="K24" s="16">
        <v>3841436.27</v>
      </c>
      <c r="L24" s="16">
        <v>4801795.35</v>
      </c>
      <c r="M24" s="16">
        <v>0</v>
      </c>
    </row>
    <row r="25" spans="1:13" ht="12.75">
      <c r="A25" s="3">
        <v>42767</v>
      </c>
      <c r="B25" s="16">
        <v>784164746.29</v>
      </c>
      <c r="C25" s="16">
        <v>6200240.19</v>
      </c>
      <c r="D25" s="16">
        <f t="shared" si="0"/>
        <v>729182403.8799999</v>
      </c>
      <c r="E25" s="16">
        <v>48782102.22</v>
      </c>
      <c r="F25" s="17">
        <v>5222</v>
      </c>
      <c r="G25" s="16">
        <v>334</v>
      </c>
      <c r="I25" s="16">
        <v>24878872.17</v>
      </c>
      <c r="J25" s="16">
        <v>15122451.67</v>
      </c>
      <c r="K25" s="16">
        <v>3902568.16</v>
      </c>
      <c r="L25" s="16">
        <v>4878210.26</v>
      </c>
      <c r="M25" s="16">
        <v>0</v>
      </c>
    </row>
    <row r="26" spans="1:13" ht="12.75">
      <c r="A26" s="3">
        <v>42795</v>
      </c>
      <c r="B26" s="16">
        <v>852376233.84</v>
      </c>
      <c r="C26" s="16">
        <v>6245379.11</v>
      </c>
      <c r="D26" s="16">
        <f t="shared" si="0"/>
        <v>794276541.49</v>
      </c>
      <c r="E26" s="16">
        <v>51854313.24</v>
      </c>
      <c r="F26" s="17">
        <v>5222</v>
      </c>
      <c r="G26" s="16">
        <v>320</v>
      </c>
      <c r="I26" s="16">
        <v>26445699.73</v>
      </c>
      <c r="J26" s="16">
        <v>16074837.11</v>
      </c>
      <c r="K26" s="16">
        <v>4148345.08</v>
      </c>
      <c r="L26" s="16">
        <v>5185431.34</v>
      </c>
      <c r="M26" s="16">
        <v>0</v>
      </c>
    </row>
    <row r="27" spans="1:13" ht="13.5" thickBot="1">
      <c r="A27" s="60" t="s">
        <v>19</v>
      </c>
      <c r="B27" s="61">
        <f>SUM(B15:B26)</f>
        <v>9558947877.640001</v>
      </c>
      <c r="C27" s="61">
        <f>SUM(C15:C26)</f>
        <v>73472410.6</v>
      </c>
      <c r="D27" s="61">
        <f>SUM(D15:D26)</f>
        <v>8893359799.52</v>
      </c>
      <c r="E27" s="61">
        <f>SUM(E15:E26)</f>
        <v>592115667.52</v>
      </c>
      <c r="F27" s="62">
        <f>AVERAGE(F15:F26)</f>
        <v>5226.916666666667</v>
      </c>
      <c r="G27" s="61">
        <f>AVERAGE(G15:G26)</f>
        <v>310.4546026736377</v>
      </c>
      <c r="H27" s="33"/>
      <c r="I27" s="61">
        <f>SUM(I15:I26)</f>
        <v>299478990.48</v>
      </c>
      <c r="J27" s="61">
        <f>SUM(J15:J26)</f>
        <v>183555856.97999996</v>
      </c>
      <c r="K27" s="61">
        <f>SUM(K15:K26)</f>
        <v>47369253.379999995</v>
      </c>
      <c r="L27" s="61">
        <f>SUM(L15:L26)</f>
        <v>59211566.900000006</v>
      </c>
      <c r="M27" s="61">
        <f>SUM(M15:M26)</f>
        <v>2500000</v>
      </c>
    </row>
    <row r="28" spans="2:13" ht="10.5" customHeight="1" thickTop="1">
      <c r="B28" s="19"/>
      <c r="C28" s="19"/>
      <c r="D28" s="19"/>
      <c r="E28" s="19"/>
      <c r="I28" s="19"/>
      <c r="J28" s="19"/>
      <c r="K28" s="19"/>
      <c r="L28" s="19"/>
      <c r="M28" s="19"/>
    </row>
    <row r="29" spans="1:13" s="22" customFormat="1" ht="12.75">
      <c r="A29" s="20"/>
      <c r="B29" s="21"/>
      <c r="C29" s="21">
        <f>C27/B27</f>
        <v>0.007686244505199617</v>
      </c>
      <c r="D29" s="21">
        <f>D27/B27</f>
        <v>0.9303701530084787</v>
      </c>
      <c r="E29" s="21">
        <f>E27/B27</f>
        <v>0.06194360248632162</v>
      </c>
      <c r="I29" s="21">
        <f>I27/$E$27</f>
        <v>0.5057778520442283</v>
      </c>
      <c r="J29" s="21">
        <f>J27/$E$27</f>
        <v>0.3100000000824163</v>
      </c>
      <c r="K29" s="21">
        <f>K27/$E$27</f>
        <v>0.07999999996352064</v>
      </c>
      <c r="L29" s="21">
        <f>L27/$E$27</f>
        <v>0.10000000024995118</v>
      </c>
      <c r="M29" s="21">
        <f>M27/$E$27</f>
        <v>0.0042221480314326544</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100</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66:M66"/>
    <mergeCell ref="A68:M68"/>
    <mergeCell ref="I10:M10"/>
    <mergeCell ref="A31:M31"/>
    <mergeCell ref="A59:M59"/>
    <mergeCell ref="F61:I61"/>
    <mergeCell ref="B63:D63"/>
    <mergeCell ref="B64:D64"/>
    <mergeCell ref="A1:M1"/>
    <mergeCell ref="A2:M2"/>
    <mergeCell ref="A3:M3"/>
    <mergeCell ref="A4:M4"/>
    <mergeCell ref="A5:M5"/>
    <mergeCell ref="A8:M8"/>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3">
      <selection activeCell="D28" sqref="D28"/>
    </sheetView>
  </sheetViews>
  <sheetFormatPr defaultColWidth="9.140625" defaultRowHeight="12.75"/>
  <cols>
    <col min="1" max="1" width="9.28125" style="3" customWidth="1"/>
    <col min="2" max="2" width="14.421875" style="16" bestFit="1" customWidth="1"/>
    <col min="3" max="3" width="12.7109375" style="16" customWidth="1"/>
    <col min="4" max="4" width="14.28125" style="16" customWidth="1"/>
    <col min="5" max="5" width="13.00390625" style="16" customWidth="1"/>
    <col min="6" max="6" width="8.28125" style="17" customWidth="1"/>
    <col min="7" max="7" width="9.00390625" style="16" customWidth="1"/>
    <col min="8" max="8" width="1.421875" style="16" customWidth="1"/>
    <col min="9" max="9" width="12.7109375" style="16" bestFit="1" customWidth="1"/>
    <col min="10" max="10" width="13.00390625" style="16" customWidth="1"/>
    <col min="11" max="12" width="12.8515625" style="16" bestFit="1" customWidth="1"/>
    <col min="13" max="13" width="10.7109375" style="16" bestFit="1" customWidth="1"/>
    <col min="14" max="14" width="12.7109375" style="0" customWidth="1"/>
  </cols>
  <sheetData>
    <row r="1" spans="1:13" ht="18">
      <c r="A1" s="139" t="s">
        <v>50</v>
      </c>
      <c r="B1" s="139"/>
      <c r="C1" s="139"/>
      <c r="D1" s="139"/>
      <c r="E1" s="139"/>
      <c r="F1" s="139"/>
      <c r="G1" s="139"/>
      <c r="H1" s="139"/>
      <c r="I1" s="139"/>
      <c r="J1" s="139"/>
      <c r="K1" s="139"/>
      <c r="L1" s="139"/>
      <c r="M1" s="139"/>
    </row>
    <row r="2" spans="1:13" ht="15">
      <c r="A2" s="140" t="s">
        <v>0</v>
      </c>
      <c r="B2" s="140"/>
      <c r="C2" s="140"/>
      <c r="D2" s="140"/>
      <c r="E2" s="140"/>
      <c r="F2" s="140"/>
      <c r="G2" s="140"/>
      <c r="H2" s="140"/>
      <c r="I2" s="140"/>
      <c r="J2" s="140"/>
      <c r="K2" s="140"/>
      <c r="L2" s="140"/>
      <c r="M2" s="140"/>
    </row>
    <row r="3" spans="1:13" s="1" customFormat="1" ht="15">
      <c r="A3" s="140" t="s">
        <v>1</v>
      </c>
      <c r="B3" s="140"/>
      <c r="C3" s="140"/>
      <c r="D3" s="140"/>
      <c r="E3" s="140"/>
      <c r="F3" s="140"/>
      <c r="G3" s="140"/>
      <c r="H3" s="140"/>
      <c r="I3" s="140"/>
      <c r="J3" s="140"/>
      <c r="K3" s="140"/>
      <c r="L3" s="140"/>
      <c r="M3" s="140"/>
    </row>
    <row r="4" spans="1:13" s="1" customFormat="1" ht="14.25">
      <c r="A4" s="125" t="s">
        <v>2</v>
      </c>
      <c r="B4" s="125"/>
      <c r="C4" s="125"/>
      <c r="D4" s="125"/>
      <c r="E4" s="125"/>
      <c r="F4" s="125"/>
      <c r="G4" s="125"/>
      <c r="H4" s="125"/>
      <c r="I4" s="125"/>
      <c r="J4" s="125"/>
      <c r="K4" s="125"/>
      <c r="L4" s="125"/>
      <c r="M4" s="125"/>
    </row>
    <row r="5" spans="1:13" s="1" customFormat="1" ht="14.25">
      <c r="A5" s="141" t="s">
        <v>3</v>
      </c>
      <c r="B5" s="141"/>
      <c r="C5" s="141"/>
      <c r="D5" s="141"/>
      <c r="E5" s="141"/>
      <c r="F5" s="141"/>
      <c r="G5" s="141"/>
      <c r="H5" s="141"/>
      <c r="I5" s="141"/>
      <c r="J5" s="141"/>
      <c r="K5" s="141"/>
      <c r="L5" s="141"/>
      <c r="M5" s="141"/>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35" t="s">
        <v>97</v>
      </c>
      <c r="B8" s="136"/>
      <c r="C8" s="136"/>
      <c r="D8" s="136"/>
      <c r="E8" s="136"/>
      <c r="F8" s="136"/>
      <c r="G8" s="136"/>
      <c r="H8" s="136"/>
      <c r="I8" s="136"/>
      <c r="J8" s="136"/>
      <c r="K8" s="136"/>
      <c r="L8" s="136"/>
      <c r="M8" s="137"/>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34" t="s">
        <v>4</v>
      </c>
      <c r="J10" s="134"/>
      <c r="K10" s="134"/>
      <c r="L10" s="134"/>
      <c r="M10" s="134"/>
    </row>
    <row r="11" spans="1:13" s="1" customFormat="1" ht="12.75">
      <c r="A11" s="3"/>
      <c r="B11" s="5"/>
      <c r="C11" s="5"/>
      <c r="D11" s="5"/>
      <c r="E11" s="5"/>
      <c r="F11" s="6"/>
      <c r="G11" s="5"/>
      <c r="H11" s="5"/>
      <c r="I11" s="5"/>
      <c r="J11" s="5"/>
      <c r="K11" s="5"/>
      <c r="L11" s="5"/>
      <c r="M11" s="5"/>
    </row>
    <row r="12" spans="1:13" s="12" customFormat="1" ht="12">
      <c r="A12" s="9"/>
      <c r="B12" s="10" t="s">
        <v>5</v>
      </c>
      <c r="C12" s="10" t="s">
        <v>65</v>
      </c>
      <c r="D12" s="10" t="s">
        <v>5</v>
      </c>
      <c r="E12" s="10"/>
      <c r="F12" s="11" t="s">
        <v>6</v>
      </c>
      <c r="G12" s="10" t="s">
        <v>7</v>
      </c>
      <c r="H12" s="10"/>
      <c r="I12" s="10" t="s">
        <v>8</v>
      </c>
      <c r="J12" s="10" t="s">
        <v>74</v>
      </c>
      <c r="K12" s="10" t="s">
        <v>9</v>
      </c>
      <c r="L12" s="54" t="s">
        <v>75</v>
      </c>
      <c r="M12" s="10" t="s">
        <v>40</v>
      </c>
    </row>
    <row r="13" spans="1:13" s="12" customFormat="1" ht="12">
      <c r="A13" s="13" t="s">
        <v>10</v>
      </c>
      <c r="B13" s="8" t="s">
        <v>11</v>
      </c>
      <c r="C13" s="8" t="s">
        <v>18</v>
      </c>
      <c r="D13" s="8" t="s">
        <v>12</v>
      </c>
      <c r="E13" s="8" t="s">
        <v>13</v>
      </c>
      <c r="F13" s="14" t="s">
        <v>14</v>
      </c>
      <c r="G13" s="8" t="s">
        <v>15</v>
      </c>
      <c r="H13" s="15"/>
      <c r="I13" s="8" t="s">
        <v>16</v>
      </c>
      <c r="J13" s="8" t="s">
        <v>17</v>
      </c>
      <c r="K13" s="8" t="s">
        <v>18</v>
      </c>
      <c r="L13" s="55" t="s">
        <v>76</v>
      </c>
      <c r="M13" s="8" t="s">
        <v>41</v>
      </c>
    </row>
    <row r="15" spans="1:13" ht="12.75">
      <c r="A15" s="3">
        <v>42095</v>
      </c>
      <c r="B15" s="16">
        <v>789742638.46</v>
      </c>
      <c r="C15" s="16">
        <v>6983025.47</v>
      </c>
      <c r="D15" s="16">
        <f aca="true" t="shared" si="0" ref="D15:D26">+B15-C15-E15</f>
        <v>733022982.2</v>
      </c>
      <c r="E15" s="16">
        <v>49736630.79</v>
      </c>
      <c r="F15" s="17">
        <v>5297</v>
      </c>
      <c r="G15" s="16">
        <f>E15/F15/30</f>
        <v>312.98616065697564</v>
      </c>
      <c r="I15" s="16">
        <v>23376216.5</v>
      </c>
      <c r="J15" s="16">
        <v>15418355.54</v>
      </c>
      <c r="K15" s="16">
        <v>3978930.47</v>
      </c>
      <c r="L15" s="16">
        <v>4973663.11</v>
      </c>
      <c r="M15" s="16">
        <v>1989465.23</v>
      </c>
    </row>
    <row r="16" spans="1:13" ht="12.75">
      <c r="A16" s="3">
        <v>42125</v>
      </c>
      <c r="B16" s="26">
        <v>808832818.21</v>
      </c>
      <c r="C16" s="16">
        <v>7788633.66</v>
      </c>
      <c r="D16" s="16">
        <f t="shared" si="0"/>
        <v>749074547.6600001</v>
      </c>
      <c r="E16" s="16">
        <v>51969636.89</v>
      </c>
      <c r="F16" s="17">
        <v>5297</v>
      </c>
      <c r="G16" s="16">
        <f>E16/F16/31</f>
        <v>316.4885595011175</v>
      </c>
      <c r="I16" s="16">
        <v>25993980.05</v>
      </c>
      <c r="J16" s="16">
        <v>16110587.43</v>
      </c>
      <c r="K16" s="16">
        <v>4157570.96</v>
      </c>
      <c r="L16" s="16">
        <v>5196963.71</v>
      </c>
      <c r="M16" s="16">
        <v>510534.77</v>
      </c>
    </row>
    <row r="17" spans="1:13" ht="12.75">
      <c r="A17" s="3">
        <v>42156</v>
      </c>
      <c r="B17" s="16">
        <v>730491751.99</v>
      </c>
      <c r="C17" s="16">
        <v>7344611.93</v>
      </c>
      <c r="D17" s="16">
        <f t="shared" si="0"/>
        <v>678426581.75</v>
      </c>
      <c r="E17" s="16">
        <v>44720558.31</v>
      </c>
      <c r="F17" s="17">
        <v>5297</v>
      </c>
      <c r="G17" s="16">
        <f>E17/F17/30</f>
        <v>281.4206677364546</v>
      </c>
      <c r="I17" s="16">
        <v>22807484.75</v>
      </c>
      <c r="J17" s="16">
        <v>13863373.1</v>
      </c>
      <c r="K17" s="16">
        <v>3577644.67</v>
      </c>
      <c r="L17" s="16">
        <v>4472055.84</v>
      </c>
      <c r="M17" s="16">
        <v>0</v>
      </c>
    </row>
    <row r="18" spans="1:13" ht="12.75">
      <c r="A18" s="3">
        <v>42186</v>
      </c>
      <c r="B18" s="16">
        <v>791104034.66</v>
      </c>
      <c r="C18" s="16">
        <v>8235184.39</v>
      </c>
      <c r="D18" s="16">
        <f t="shared" si="0"/>
        <v>734213128.8</v>
      </c>
      <c r="E18" s="16">
        <v>48655721.47</v>
      </c>
      <c r="F18" s="17">
        <v>5297</v>
      </c>
      <c r="G18" s="16">
        <f>E18/F18/31</f>
        <v>296.3072309341258</v>
      </c>
      <c r="I18" s="16">
        <v>24814417.97</v>
      </c>
      <c r="J18" s="16">
        <v>15083273.68</v>
      </c>
      <c r="K18" s="16">
        <v>3892457.71</v>
      </c>
      <c r="L18" s="16">
        <v>4865572.15</v>
      </c>
      <c r="M18" s="16">
        <v>0</v>
      </c>
    </row>
    <row r="19" spans="1:13" ht="12.75">
      <c r="A19" s="3">
        <v>42217</v>
      </c>
      <c r="B19" s="16">
        <v>771432736.51</v>
      </c>
      <c r="C19" s="16">
        <v>7619944.48</v>
      </c>
      <c r="D19" s="16">
        <f t="shared" si="0"/>
        <v>715727273.17</v>
      </c>
      <c r="E19" s="16">
        <v>48085518.86</v>
      </c>
      <c r="F19" s="17">
        <v>5274</v>
      </c>
      <c r="G19" s="16">
        <f>E19/F19/31</f>
        <v>294.1118258774022</v>
      </c>
      <c r="I19" s="16">
        <v>24523614.6</v>
      </c>
      <c r="J19" s="16">
        <v>14906510.86</v>
      </c>
      <c r="K19" s="16">
        <v>3846841.51</v>
      </c>
      <c r="L19" s="16">
        <v>4808551.89</v>
      </c>
      <c r="M19" s="16">
        <v>0</v>
      </c>
    </row>
    <row r="20" spans="1:13" ht="12.75">
      <c r="A20" s="3">
        <v>42248</v>
      </c>
      <c r="B20" s="26">
        <v>708413843.54</v>
      </c>
      <c r="C20" s="16">
        <v>4539386.93</v>
      </c>
      <c r="D20" s="16">
        <f t="shared" si="0"/>
        <v>658841463.51</v>
      </c>
      <c r="E20" s="16">
        <v>45032993.1</v>
      </c>
      <c r="F20" s="17">
        <v>5237</v>
      </c>
      <c r="G20" s="16">
        <f>E20/F20/30</f>
        <v>286.6335249188467</v>
      </c>
      <c r="I20" s="16">
        <v>22966826.45</v>
      </c>
      <c r="J20" s="16">
        <v>13960227.87</v>
      </c>
      <c r="K20" s="16">
        <v>3602639.43</v>
      </c>
      <c r="L20" s="16">
        <v>4503299.33</v>
      </c>
      <c r="M20" s="16">
        <v>0</v>
      </c>
    </row>
    <row r="21" spans="1:13" ht="12.75">
      <c r="A21" s="3">
        <v>42278</v>
      </c>
      <c r="B21" s="16">
        <v>778008944.84</v>
      </c>
      <c r="C21" s="16">
        <v>7558010.59</v>
      </c>
      <c r="D21" s="16">
        <f t="shared" si="0"/>
        <v>725088384.03</v>
      </c>
      <c r="E21" s="16">
        <v>45362550.22</v>
      </c>
      <c r="F21" s="17">
        <v>5242</v>
      </c>
      <c r="G21" s="16">
        <f>E21/F21/31</f>
        <v>279.15071949883696</v>
      </c>
      <c r="I21" s="16">
        <v>23134900.57</v>
      </c>
      <c r="J21" s="16">
        <v>14062390.57</v>
      </c>
      <c r="K21" s="16">
        <v>3629004.04</v>
      </c>
      <c r="L21" s="16">
        <v>4536255.03</v>
      </c>
      <c r="M21" s="16">
        <v>0</v>
      </c>
    </row>
    <row r="22" spans="1:13" ht="12.75">
      <c r="A22" s="3">
        <v>42309</v>
      </c>
      <c r="B22" s="16">
        <v>724616787.77</v>
      </c>
      <c r="C22" s="16">
        <v>5912219.3</v>
      </c>
      <c r="D22" s="16">
        <f t="shared" si="0"/>
        <v>674995280.48</v>
      </c>
      <c r="E22" s="16">
        <v>43709287.99</v>
      </c>
      <c r="F22" s="17">
        <v>5244</v>
      </c>
      <c r="G22" s="16">
        <f>E22/F22/30</f>
        <v>277.83681661581494</v>
      </c>
      <c r="I22" s="16">
        <v>22291736.89</v>
      </c>
      <c r="J22" s="16">
        <v>13549879.29</v>
      </c>
      <c r="K22" s="16">
        <v>3496743.04</v>
      </c>
      <c r="L22" s="16">
        <v>4370928.78</v>
      </c>
      <c r="M22" s="16">
        <v>0</v>
      </c>
    </row>
    <row r="23" spans="1:13" ht="12.75">
      <c r="A23" s="3">
        <v>42339</v>
      </c>
      <c r="B23" s="16">
        <v>762117735.46</v>
      </c>
      <c r="C23" s="16">
        <v>5390377.49</v>
      </c>
      <c r="D23" s="16">
        <f t="shared" si="0"/>
        <v>709050886.08</v>
      </c>
      <c r="E23" s="16">
        <v>47676471.89</v>
      </c>
      <c r="F23" s="17">
        <v>5244</v>
      </c>
      <c r="G23" s="16">
        <f>E23/F23/31</f>
        <v>293.27816669127236</v>
      </c>
      <c r="I23" s="16">
        <v>24315000.66</v>
      </c>
      <c r="J23" s="16">
        <v>14779706.32</v>
      </c>
      <c r="K23" s="16">
        <v>3814117.77</v>
      </c>
      <c r="L23" s="16">
        <v>4767647.19</v>
      </c>
      <c r="M23" s="16">
        <v>0</v>
      </c>
    </row>
    <row r="24" spans="1:13" ht="12.75">
      <c r="A24" s="3">
        <v>42370</v>
      </c>
      <c r="B24" s="16">
        <v>727054695.23</v>
      </c>
      <c r="C24" s="16">
        <v>4680368.92</v>
      </c>
      <c r="D24" s="16">
        <f t="shared" si="0"/>
        <v>676899504.6200001</v>
      </c>
      <c r="E24" s="16">
        <v>45474821.69</v>
      </c>
      <c r="F24" s="17">
        <v>5242</v>
      </c>
      <c r="G24" s="16">
        <f>E24/F24/31</f>
        <v>279.8416123493864</v>
      </c>
      <c r="I24" s="16">
        <v>23192159.07</v>
      </c>
      <c r="J24" s="16">
        <v>14097194.73</v>
      </c>
      <c r="K24" s="16">
        <v>3637985.74</v>
      </c>
      <c r="L24" s="16">
        <v>4547482.21</v>
      </c>
      <c r="M24" s="16">
        <v>0</v>
      </c>
    </row>
    <row r="25" spans="1:13" ht="12.75">
      <c r="A25" s="3">
        <v>42401</v>
      </c>
      <c r="B25" s="16">
        <v>763200556.25</v>
      </c>
      <c r="C25" s="16">
        <v>4703550.91</v>
      </c>
      <c r="D25" s="16">
        <f t="shared" si="0"/>
        <v>710234892.28</v>
      </c>
      <c r="E25" s="16">
        <v>48262113.06</v>
      </c>
      <c r="F25" s="17">
        <v>5242</v>
      </c>
      <c r="G25" s="16">
        <f>E25/F25/29</f>
        <v>317.4763058322041</v>
      </c>
      <c r="I25" s="16">
        <v>24613677.63</v>
      </c>
      <c r="J25" s="16">
        <v>14961255.08</v>
      </c>
      <c r="K25" s="16">
        <v>3860969.04</v>
      </c>
      <c r="L25" s="16">
        <v>4826211.31</v>
      </c>
      <c r="M25" s="16">
        <v>0</v>
      </c>
    </row>
    <row r="26" spans="1:13" ht="12.75">
      <c r="A26" s="3">
        <v>42430</v>
      </c>
      <c r="B26" s="16">
        <v>837495250.18</v>
      </c>
      <c r="C26" s="16">
        <v>6078585.66</v>
      </c>
      <c r="D26" s="16">
        <f t="shared" si="0"/>
        <v>778898175.75</v>
      </c>
      <c r="E26" s="16">
        <v>52518488.77</v>
      </c>
      <c r="F26" s="17">
        <v>5242</v>
      </c>
      <c r="G26" s="16">
        <f>E26/F26/31</f>
        <v>323.1867224403392</v>
      </c>
      <c r="I26" s="16">
        <v>26784429.26</v>
      </c>
      <c r="J26" s="16">
        <v>16280731.51</v>
      </c>
      <c r="K26" s="16">
        <v>4201479.09</v>
      </c>
      <c r="L26" s="16">
        <v>5251848.92</v>
      </c>
      <c r="M26" s="16">
        <v>0</v>
      </c>
    </row>
    <row r="27" spans="1:13" ht="13.5" thickBot="1">
      <c r="A27" s="3" t="s">
        <v>19</v>
      </c>
      <c r="B27" s="18">
        <f>SUM(B15:B26)</f>
        <v>9192511793.1</v>
      </c>
      <c r="C27" s="18">
        <f>SUM(C15:C26)</f>
        <v>76833899.73</v>
      </c>
      <c r="D27" s="18">
        <f>SUM(D15:D26)</f>
        <v>8544473100.33</v>
      </c>
      <c r="E27" s="18">
        <f>SUM(E15:E26)</f>
        <v>571204793.04</v>
      </c>
      <c r="I27" s="18">
        <f>SUM(I15:I26)</f>
        <v>288814444.4</v>
      </c>
      <c r="J27" s="18">
        <f>SUM(J15:J26)</f>
        <v>177073485.98</v>
      </c>
      <c r="K27" s="18">
        <f>SUM(K15:K26)</f>
        <v>45696383.47</v>
      </c>
      <c r="L27" s="18">
        <f>SUM(L15:L26)</f>
        <v>57120479.470000006</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0.008358313968949418</v>
      </c>
      <c r="D29" s="21">
        <f>D27/B27</f>
        <v>0.9295036321567273</v>
      </c>
      <c r="E29" s="21">
        <f>E27/B27</f>
        <v>0.062138053874323286</v>
      </c>
      <c r="I29" s="21">
        <f>I27/$E$27</f>
        <v>0.5056232859372647</v>
      </c>
      <c r="J29" s="21">
        <f>J27/$E$27</f>
        <v>0.31000000024089436</v>
      </c>
      <c r="K29" s="21">
        <f>K27/$E$27</f>
        <v>0.08000000004691837</v>
      </c>
      <c r="L29" s="21">
        <f>L27/$E$27</f>
        <v>0.10000000029061383</v>
      </c>
      <c r="M29" s="21">
        <f>M27/$E$27</f>
        <v>0.004376713974500791</v>
      </c>
    </row>
    <row r="31" spans="1:13" s="23" customFormat="1" ht="12.75">
      <c r="A31" s="135" t="s">
        <v>20</v>
      </c>
      <c r="B31" s="136"/>
      <c r="C31" s="136"/>
      <c r="D31" s="136"/>
      <c r="E31" s="136"/>
      <c r="F31" s="136"/>
      <c r="G31" s="136"/>
      <c r="H31" s="136"/>
      <c r="I31" s="136"/>
      <c r="J31" s="136"/>
      <c r="K31" s="136"/>
      <c r="L31" s="136"/>
      <c r="M31" s="137"/>
    </row>
    <row r="32" ht="12.75">
      <c r="A32" s="24"/>
    </row>
    <row r="33" spans="1:12" s="45" customFormat="1" ht="12.75" customHeight="1">
      <c r="A33" s="41" t="s">
        <v>21</v>
      </c>
      <c r="B33" s="42"/>
      <c r="C33" s="43" t="s">
        <v>87</v>
      </c>
      <c r="D33" s="44"/>
      <c r="E33" s="44"/>
      <c r="F33" s="44"/>
      <c r="G33" s="44"/>
      <c r="H33" s="44"/>
      <c r="I33" s="44"/>
      <c r="J33" s="44"/>
      <c r="K33" s="44"/>
      <c r="L33" s="44"/>
    </row>
    <row r="34" spans="1:12" s="45" customFormat="1" ht="12.75" customHeight="1">
      <c r="A34" s="41"/>
      <c r="B34" s="42"/>
      <c r="C34" s="43" t="s">
        <v>88</v>
      </c>
      <c r="D34" s="44"/>
      <c r="E34" s="44"/>
      <c r="F34" s="44"/>
      <c r="G34" s="44"/>
      <c r="H34" s="44"/>
      <c r="I34" s="44"/>
      <c r="J34" s="44"/>
      <c r="K34" s="44"/>
      <c r="L34" s="44"/>
    </row>
    <row r="35" spans="1:13" s="45" customFormat="1" ht="6" customHeight="1">
      <c r="A35" s="41"/>
      <c r="B35" s="42"/>
      <c r="C35" s="43"/>
      <c r="E35" s="44"/>
      <c r="F35" s="44"/>
      <c r="G35" s="44"/>
      <c r="H35" s="44"/>
      <c r="I35" s="44"/>
      <c r="J35" s="44"/>
      <c r="K35" s="44"/>
      <c r="L35" s="44"/>
      <c r="M35" s="44"/>
    </row>
    <row r="36" spans="1:13" ht="12.75">
      <c r="A36" s="25" t="s">
        <v>90</v>
      </c>
      <c r="B36" s="26"/>
      <c r="C36" s="26" t="s">
        <v>80</v>
      </c>
      <c r="F36" s="26"/>
      <c r="G36" s="26"/>
      <c r="H36" s="26"/>
      <c r="I36" s="26"/>
      <c r="J36" s="26"/>
      <c r="K36" s="26"/>
      <c r="L36" s="26"/>
      <c r="M36" s="26"/>
    </row>
    <row r="37" spans="1:13" s="45" customFormat="1" ht="6" customHeight="1">
      <c r="A37" s="41"/>
      <c r="B37" s="42"/>
      <c r="C37" s="43"/>
      <c r="E37" s="46"/>
      <c r="F37" s="43"/>
      <c r="G37" s="43"/>
      <c r="H37" s="43"/>
      <c r="I37" s="43"/>
      <c r="J37" s="42"/>
      <c r="K37" s="42"/>
      <c r="L37" s="42"/>
      <c r="M37" s="42"/>
    </row>
    <row r="38" spans="1:13" s="45" customFormat="1" ht="12.75">
      <c r="A38" s="41" t="s">
        <v>22</v>
      </c>
      <c r="B38" s="42"/>
      <c r="C38" s="43" t="s">
        <v>94</v>
      </c>
      <c r="E38" s="46"/>
      <c r="F38" s="43"/>
      <c r="G38" s="43"/>
      <c r="H38" s="43"/>
      <c r="I38" s="43"/>
      <c r="J38" s="42"/>
      <c r="K38" s="42"/>
      <c r="L38" s="42"/>
      <c r="M38" s="42"/>
    </row>
    <row r="39" spans="1:13" s="45" customFormat="1" ht="6" customHeight="1">
      <c r="A39" s="41"/>
      <c r="B39" s="42"/>
      <c r="C39" s="43"/>
      <c r="E39" s="46"/>
      <c r="F39" s="43"/>
      <c r="G39" s="43"/>
      <c r="H39" s="43"/>
      <c r="I39" s="43"/>
      <c r="J39" s="42"/>
      <c r="K39" s="42"/>
      <c r="L39" s="42"/>
      <c r="M39" s="42"/>
    </row>
    <row r="40" spans="1:13" s="45" customFormat="1" ht="12.75">
      <c r="A40" s="41" t="s">
        <v>24</v>
      </c>
      <c r="B40" s="42"/>
      <c r="C40" s="42" t="s">
        <v>54</v>
      </c>
      <c r="E40" s="46"/>
      <c r="F40" s="47"/>
      <c r="G40" s="42"/>
      <c r="H40" s="42"/>
      <c r="I40" s="42"/>
      <c r="J40" s="42"/>
      <c r="K40" s="42"/>
      <c r="L40" s="42"/>
      <c r="M40" s="42"/>
    </row>
    <row r="41" spans="1:13" s="45" customFormat="1" ht="12.75">
      <c r="A41" s="41"/>
      <c r="B41" s="42"/>
      <c r="C41" s="42" t="s">
        <v>55</v>
      </c>
      <c r="E41" s="46"/>
      <c r="F41" s="47"/>
      <c r="G41" s="42"/>
      <c r="H41" s="42"/>
      <c r="I41" s="42"/>
      <c r="J41" s="42"/>
      <c r="K41" s="42"/>
      <c r="L41" s="42"/>
      <c r="M41" s="42"/>
    </row>
    <row r="42" spans="1:13" s="45" customFormat="1" ht="6" customHeight="1">
      <c r="A42" s="41"/>
      <c r="B42" s="42"/>
      <c r="C42" s="42"/>
      <c r="E42" s="46"/>
      <c r="F42" s="47"/>
      <c r="G42" s="42"/>
      <c r="H42" s="42"/>
      <c r="I42" s="42"/>
      <c r="J42" s="42"/>
      <c r="K42" s="42"/>
      <c r="L42" s="42"/>
      <c r="M42" s="42"/>
    </row>
    <row r="43" spans="1:13" s="45" customFormat="1" ht="12.75">
      <c r="A43" s="41" t="s">
        <v>27</v>
      </c>
      <c r="B43" s="42"/>
      <c r="C43" s="42" t="s">
        <v>28</v>
      </c>
      <c r="E43" s="46"/>
      <c r="F43" s="47"/>
      <c r="G43" s="42"/>
      <c r="H43" s="42"/>
      <c r="I43" s="42"/>
      <c r="J43" s="42"/>
      <c r="K43" s="42"/>
      <c r="L43" s="42"/>
      <c r="M43" s="42"/>
    </row>
    <row r="44" spans="1:13" s="45" customFormat="1" ht="6" customHeight="1">
      <c r="A44" s="41"/>
      <c r="B44" s="42"/>
      <c r="C44" s="42"/>
      <c r="E44" s="46"/>
      <c r="F44" s="47"/>
      <c r="G44" s="42"/>
      <c r="H44" s="42"/>
      <c r="I44" s="42"/>
      <c r="J44" s="42"/>
      <c r="K44" s="42"/>
      <c r="L44" s="42"/>
      <c r="M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3" s="45" customFormat="1" ht="6" customHeight="1">
      <c r="A48" s="41"/>
      <c r="B48" s="42"/>
      <c r="C48" s="42"/>
      <c r="E48" s="46"/>
      <c r="F48" s="47"/>
      <c r="G48" s="42"/>
      <c r="H48" s="42"/>
      <c r="I48" s="42"/>
      <c r="J48" s="42"/>
      <c r="K48" s="42"/>
      <c r="L48" s="42"/>
      <c r="M48" s="42"/>
    </row>
    <row r="49" spans="1:12" s="45" customFormat="1" ht="12.75">
      <c r="A49" s="41" t="s">
        <v>29</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3" s="45" customFormat="1" ht="6" customHeight="1">
      <c r="A51" s="41"/>
      <c r="B51" s="42"/>
      <c r="C51" s="42"/>
      <c r="E51" s="46"/>
      <c r="F51" s="47"/>
      <c r="G51" s="42"/>
      <c r="H51" s="42"/>
      <c r="I51" s="42"/>
      <c r="J51" s="42"/>
      <c r="K51" s="42"/>
      <c r="L51" s="42"/>
      <c r="M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3" s="45" customFormat="1" ht="6" customHeight="1">
      <c r="A54" s="49"/>
      <c r="B54" s="50"/>
      <c r="C54" s="50"/>
      <c r="E54" s="50"/>
      <c r="F54" s="51"/>
      <c r="G54" s="50"/>
      <c r="H54" s="50"/>
      <c r="I54" s="50"/>
      <c r="J54" s="50"/>
      <c r="K54" s="50"/>
      <c r="L54" s="50"/>
      <c r="M54" s="50"/>
    </row>
    <row r="55" spans="1:13" s="45" customFormat="1" ht="12.75">
      <c r="A55" s="41" t="s">
        <v>42</v>
      </c>
      <c r="B55" s="42"/>
      <c r="C55" s="42" t="s">
        <v>56</v>
      </c>
      <c r="E55" s="46"/>
      <c r="F55" s="47"/>
      <c r="G55" s="42"/>
      <c r="H55" s="42"/>
      <c r="I55" s="42"/>
      <c r="J55" s="42"/>
      <c r="K55" s="42"/>
      <c r="L55" s="42"/>
      <c r="M55" s="46"/>
    </row>
    <row r="56" spans="1:13" s="45" customFormat="1" ht="12.75">
      <c r="A56" s="48"/>
      <c r="B56" s="42"/>
      <c r="C56" s="42" t="s">
        <v>57</v>
      </c>
      <c r="E56" s="46"/>
      <c r="F56" s="47"/>
      <c r="G56" s="42"/>
      <c r="H56" s="42"/>
      <c r="I56" s="42"/>
      <c r="J56" s="42"/>
      <c r="K56" s="42"/>
      <c r="L56" s="42"/>
      <c r="M56" s="46"/>
    </row>
    <row r="57" spans="1:13" s="45" customFormat="1" ht="12.75">
      <c r="A57" s="48"/>
      <c r="B57" s="42"/>
      <c r="C57" s="42" t="s">
        <v>58</v>
      </c>
      <c r="E57" s="46"/>
      <c r="F57" s="47"/>
      <c r="G57" s="42"/>
      <c r="H57" s="42"/>
      <c r="I57" s="42"/>
      <c r="J57" s="42"/>
      <c r="K57" s="42"/>
      <c r="L57" s="42"/>
      <c r="M57" s="46"/>
    </row>
    <row r="58" spans="1:13" ht="12.75">
      <c r="A58" s="29"/>
      <c r="B58" s="30"/>
      <c r="C58" s="30"/>
      <c r="D58" s="26"/>
      <c r="E58" s="30"/>
      <c r="F58" s="31"/>
      <c r="G58" s="30"/>
      <c r="H58" s="30"/>
      <c r="I58" s="30"/>
      <c r="J58" s="30"/>
      <c r="K58" s="30"/>
      <c r="L58" s="30"/>
      <c r="M58" s="30"/>
    </row>
    <row r="59" spans="1:13" ht="12.75">
      <c r="A59" s="135" t="s">
        <v>30</v>
      </c>
      <c r="B59" s="136"/>
      <c r="C59" s="136"/>
      <c r="D59" s="136"/>
      <c r="E59" s="136"/>
      <c r="F59" s="136"/>
      <c r="G59" s="136"/>
      <c r="H59" s="136"/>
      <c r="I59" s="136"/>
      <c r="J59" s="136"/>
      <c r="K59" s="136"/>
      <c r="L59" s="136"/>
      <c r="M59" s="137"/>
    </row>
    <row r="60" ht="12.75">
      <c r="A60" s="24"/>
    </row>
    <row r="61" spans="1:13" ht="13.5">
      <c r="A61" s="32"/>
      <c r="E61" s="10" t="s">
        <v>8</v>
      </c>
      <c r="F61" s="134" t="s">
        <v>81</v>
      </c>
      <c r="G61" s="134"/>
      <c r="H61" s="134"/>
      <c r="I61" s="134"/>
      <c r="J61" s="10" t="s">
        <v>9</v>
      </c>
      <c r="K61" s="54" t="s">
        <v>75</v>
      </c>
      <c r="L61" s="10" t="s">
        <v>40</v>
      </c>
      <c r="M61" s="34"/>
    </row>
    <row r="62" spans="1:13" ht="12.75">
      <c r="A62" s="35"/>
      <c r="E62" s="8" t="s">
        <v>16</v>
      </c>
      <c r="F62" s="8" t="s">
        <v>82</v>
      </c>
      <c r="G62" s="56" t="s">
        <v>83</v>
      </c>
      <c r="H62" s="36"/>
      <c r="I62" s="8" t="s">
        <v>84</v>
      </c>
      <c r="J62" s="8" t="s">
        <v>18</v>
      </c>
      <c r="K62" s="55" t="s">
        <v>76</v>
      </c>
      <c r="L62" s="8" t="s">
        <v>41</v>
      </c>
      <c r="M62" s="34"/>
    </row>
    <row r="63" spans="2:13" ht="12.75">
      <c r="B63" s="138" t="s">
        <v>49</v>
      </c>
      <c r="C63" s="138"/>
      <c r="D63" s="138"/>
      <c r="E63" s="57">
        <v>0.47</v>
      </c>
      <c r="F63" s="57">
        <v>0.21</v>
      </c>
      <c r="G63" s="58">
        <v>0.0875</v>
      </c>
      <c r="H63" s="59"/>
      <c r="I63" s="57">
        <v>0.0125</v>
      </c>
      <c r="J63" s="57">
        <v>0.08</v>
      </c>
      <c r="K63" s="57">
        <v>0.1</v>
      </c>
      <c r="L63" s="57">
        <v>0.04</v>
      </c>
      <c r="M63" s="39"/>
    </row>
    <row r="64" spans="2:13" ht="12.75">
      <c r="B64" s="138" t="s">
        <v>53</v>
      </c>
      <c r="C64" s="138"/>
      <c r="D64" s="138"/>
      <c r="E64" s="57">
        <v>0.51</v>
      </c>
      <c r="F64" s="57">
        <v>0.21</v>
      </c>
      <c r="G64" s="58">
        <v>0.0875</v>
      </c>
      <c r="H64" s="59"/>
      <c r="I64" s="57">
        <v>0.0125</v>
      </c>
      <c r="J64" s="57">
        <v>0.08</v>
      </c>
      <c r="K64" s="57">
        <v>0.1</v>
      </c>
      <c r="L64" s="57">
        <v>0</v>
      </c>
      <c r="M64" s="39"/>
    </row>
    <row r="65" spans="2:13" ht="12.75">
      <c r="B65" s="52"/>
      <c r="C65" s="52"/>
      <c r="D65" s="52"/>
      <c r="E65" s="26"/>
      <c r="F65" s="27"/>
      <c r="G65" s="38"/>
      <c r="H65" s="26"/>
      <c r="I65" s="38"/>
      <c r="J65" s="38"/>
      <c r="K65" s="38"/>
      <c r="L65" s="38"/>
      <c r="M65" s="39"/>
    </row>
    <row r="66" spans="1:13" ht="13.5" customHeight="1">
      <c r="A66" s="130" t="s">
        <v>36</v>
      </c>
      <c r="B66" s="131"/>
      <c r="C66" s="131"/>
      <c r="D66" s="131"/>
      <c r="E66" s="131"/>
      <c r="F66" s="131"/>
      <c r="G66" s="131"/>
      <c r="H66" s="131"/>
      <c r="I66" s="131"/>
      <c r="J66" s="131"/>
      <c r="K66" s="131"/>
      <c r="L66" s="131"/>
      <c r="M66" s="132"/>
    </row>
    <row r="67" spans="1:6" ht="12.75">
      <c r="A67" s="24"/>
      <c r="E67"/>
      <c r="F67" s="16"/>
    </row>
    <row r="68" spans="1:13" ht="54" customHeight="1">
      <c r="A68" s="122" t="s">
        <v>99</v>
      </c>
      <c r="B68" s="133"/>
      <c r="C68" s="133"/>
      <c r="D68" s="133"/>
      <c r="E68" s="133"/>
      <c r="F68" s="133"/>
      <c r="G68" s="133"/>
      <c r="H68" s="133"/>
      <c r="I68" s="133"/>
      <c r="J68" s="133"/>
      <c r="K68" s="133"/>
      <c r="L68" s="133"/>
      <c r="M68" s="133"/>
    </row>
    <row r="69" spans="1:6" ht="12.75">
      <c r="A69" s="16"/>
      <c r="E69"/>
      <c r="F69" s="16"/>
    </row>
    <row r="70" spans="2:5" ht="12.75">
      <c r="B70" s="24" t="s">
        <v>37</v>
      </c>
      <c r="C70" s="24"/>
      <c r="D70" s="24"/>
      <c r="E70" s="16">
        <v>19600000</v>
      </c>
    </row>
    <row r="71" spans="2:4" ht="12.75">
      <c r="B71" s="24"/>
      <c r="C71" s="24"/>
      <c r="D71" s="24"/>
    </row>
    <row r="72" ht="12.75">
      <c r="A72" s="28" t="s">
        <v>91</v>
      </c>
    </row>
  </sheetData>
  <sheetProtection/>
  <mergeCells count="14">
    <mergeCell ref="A66:M66"/>
    <mergeCell ref="A68:M68"/>
    <mergeCell ref="I10:M10"/>
    <mergeCell ref="A31:M31"/>
    <mergeCell ref="A59:M59"/>
    <mergeCell ref="F61:I61"/>
    <mergeCell ref="B63:D63"/>
    <mergeCell ref="B64:D64"/>
    <mergeCell ref="A1:M1"/>
    <mergeCell ref="A2:M2"/>
    <mergeCell ref="A3:M3"/>
    <mergeCell ref="A4:M4"/>
    <mergeCell ref="A5:M5"/>
    <mergeCell ref="A8:M8"/>
  </mergeCells>
  <hyperlinks>
    <hyperlink ref="A4" r:id="rId1" display="www.yonkersraceway.com"/>
  </hyperlinks>
  <printOptions horizontalCentered="1"/>
  <pageMargins left="0.25" right="0.25" top="0.75" bottom="0.5" header="0.5" footer="0.5"/>
  <pageSetup fitToHeight="1" fitToWidth="1" horizontalDpi="600" verticalDpi="600" orientation="portrait"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Day, Zachary (GAMING)</cp:lastModifiedBy>
  <cp:lastPrinted>2024-03-05T17:49:31Z</cp:lastPrinted>
  <dcterms:created xsi:type="dcterms:W3CDTF">2007-10-10T21:24:51Z</dcterms:created>
  <dcterms:modified xsi:type="dcterms:W3CDTF">2024-04-08T18:57:33Z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